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ienco\Documents\Mijn Post\msf\"/>
    </mc:Choice>
  </mc:AlternateContent>
  <bookViews>
    <workbookView xWindow="120" yWindow="80" windowWidth="28620" windowHeight="14960"/>
  </bookViews>
  <sheets>
    <sheet name="Balans" sheetId="1" r:id="rId1"/>
    <sheet name="Winst &amp; Verlies" sheetId="2" r:id="rId2"/>
    <sheet name="Criteria" sheetId="4" r:id="rId3"/>
  </sheets>
  <definedNames>
    <definedName name="_xlnm.Print_Area" localSheetId="0">Balans!$A$1:$K$58</definedName>
    <definedName name="_xlnm.Print_Area" localSheetId="1">'Winst &amp; Verlies'!$A$1:$K$62</definedName>
    <definedName name="_xlnm.Print_Titles" localSheetId="0">Balans!$1:$12</definedName>
    <definedName name="_xlnm.Print_Titles" localSheetId="2">Criteria!$1:$11</definedName>
    <definedName name="_xlnm.Print_Titles" localSheetId="1">'Winst &amp; Verlies'!$1:$12</definedName>
    <definedName name="ExactAddinReport1.Area" localSheetId="0" hidden="1">Balans!$A$1:$K$56</definedName>
    <definedName name="ExactAddinReport1.Data" localSheetId="0" hidden="1">"AfterEntry=-1;Baltype=B;Cat1=A;Cat10=K;Cat2=B;Cat3=C;Cat4=D;Cat5=K;Cat6=K;Cat7=K;Cat8=K;Cat9=K;Currency=EUR;ExRateDate=42513;FinYear1=2015;Ledger.from=;Ledger.to=999999999;Ledger.all=-1;Mutex2=R;Precision1=0;ReportDate_Fip=42369;TransType_Fip=S;XYears"</definedName>
    <definedName name="ExactAddinReport1.Data.2" localSheetId="0" hidden="1">"=1;YearEndBalance=-1;ZeroBal1=0;butInfo=0;fipCalMethod=1;fipCloseEntry=0;mtxAdvanced=1;System.Wizard=balance;System.Company=-1;System.Update=-1"</definedName>
    <definedName name="ExactAddinReports" hidden="1">1</definedName>
  </definedNames>
  <calcPr calcId="152511"/>
</workbook>
</file>

<file path=xl/calcChain.xml><?xml version="1.0" encoding="utf-8"?>
<calcChain xmlns="http://schemas.openxmlformats.org/spreadsheetml/2006/main">
  <c r="K62" i="2" l="1"/>
  <c r="A56" i="2"/>
  <c r="B54" i="2"/>
  <c r="C52" i="2"/>
  <c r="D50" i="2"/>
  <c r="J49" i="2"/>
  <c r="J50" i="2" s="1"/>
  <c r="H49" i="2"/>
  <c r="G50" i="2" s="1"/>
  <c r="B44" i="2"/>
  <c r="C42" i="2"/>
  <c r="D40" i="2"/>
  <c r="I39" i="2"/>
  <c r="G39" i="2"/>
  <c r="I38" i="2"/>
  <c r="G38" i="2"/>
  <c r="C34" i="2"/>
  <c r="D32" i="2"/>
  <c r="I31" i="2"/>
  <c r="G31" i="2"/>
  <c r="G32" i="2" s="1"/>
  <c r="I30" i="2"/>
  <c r="I32" i="2" s="1"/>
  <c r="G30" i="2"/>
  <c r="D27" i="2"/>
  <c r="I26" i="2"/>
  <c r="K26" i="2" s="1"/>
  <c r="G26" i="2"/>
  <c r="I25" i="2"/>
  <c r="G25" i="2"/>
  <c r="C21" i="2"/>
  <c r="D19" i="2"/>
  <c r="I18" i="2"/>
  <c r="K18" i="2" s="1"/>
  <c r="G18" i="2"/>
  <c r="I17" i="2"/>
  <c r="G17" i="2"/>
  <c r="G55" i="1"/>
  <c r="A53" i="1"/>
  <c r="B51" i="1"/>
  <c r="C49" i="1"/>
  <c r="H47" i="1"/>
  <c r="D47" i="1"/>
  <c r="J46" i="1"/>
  <c r="I47" i="1" s="1"/>
  <c r="H46" i="1"/>
  <c r="G47" i="1" s="1"/>
  <c r="C42" i="1"/>
  <c r="I40" i="1"/>
  <c r="D40" i="1"/>
  <c r="J39" i="1"/>
  <c r="J40" i="1" s="1"/>
  <c r="H39" i="1"/>
  <c r="H40" i="1" s="1"/>
  <c r="B34" i="1"/>
  <c r="C32" i="1"/>
  <c r="D30" i="1"/>
  <c r="I29" i="1"/>
  <c r="K29" i="1" s="1"/>
  <c r="G29" i="1"/>
  <c r="I28" i="1"/>
  <c r="G28" i="1"/>
  <c r="C24" i="1"/>
  <c r="H22" i="1"/>
  <c r="D22" i="1"/>
  <c r="I21" i="1"/>
  <c r="I22" i="1" s="1"/>
  <c r="G21" i="1"/>
  <c r="G22" i="1" s="1"/>
  <c r="I18" i="1"/>
  <c r="D18" i="1"/>
  <c r="I17" i="1"/>
  <c r="K17" i="1" s="1"/>
  <c r="G17" i="1"/>
  <c r="H32" i="2" l="1"/>
  <c r="H50" i="2"/>
  <c r="H52" i="2"/>
  <c r="G52" i="2"/>
  <c r="H54" i="2" s="1"/>
  <c r="G19" i="2"/>
  <c r="K17" i="2"/>
  <c r="H19" i="2"/>
  <c r="J19" i="2"/>
  <c r="K25" i="2"/>
  <c r="H27" i="2"/>
  <c r="J27" i="2"/>
  <c r="K30" i="2"/>
  <c r="J32" i="2"/>
  <c r="K32" i="2" s="1"/>
  <c r="K38" i="2"/>
  <c r="H40" i="2"/>
  <c r="J40" i="2"/>
  <c r="K49" i="2"/>
  <c r="I50" i="2"/>
  <c r="I19" i="2"/>
  <c r="G27" i="2"/>
  <c r="H34" i="2" s="1"/>
  <c r="I27" i="2"/>
  <c r="K31" i="2"/>
  <c r="K39" i="2"/>
  <c r="G40" i="2"/>
  <c r="I40" i="2"/>
  <c r="G49" i="1"/>
  <c r="H49" i="1"/>
  <c r="G18" i="1"/>
  <c r="G24" i="1" s="1"/>
  <c r="J22" i="1"/>
  <c r="K22" i="1" s="1"/>
  <c r="K28" i="1"/>
  <c r="H30" i="1"/>
  <c r="J30" i="1"/>
  <c r="K39" i="1"/>
  <c r="G40" i="1"/>
  <c r="K40" i="1"/>
  <c r="I42" i="1"/>
  <c r="J47" i="1"/>
  <c r="K47" i="1" s="1"/>
  <c r="H18" i="1"/>
  <c r="J18" i="1"/>
  <c r="J24" i="1" s="1"/>
  <c r="K21" i="1"/>
  <c r="G30" i="1"/>
  <c r="H32" i="1" s="1"/>
  <c r="I30" i="1"/>
  <c r="K30" i="1" s="1"/>
  <c r="J42" i="1"/>
  <c r="K46" i="1"/>
  <c r="K19" i="2" l="1"/>
  <c r="H24" i="1"/>
  <c r="H42" i="2"/>
  <c r="I24" i="1"/>
  <c r="K24" i="1" s="1"/>
  <c r="K40" i="2"/>
  <c r="K27" i="2"/>
  <c r="H21" i="2"/>
  <c r="I21" i="2"/>
  <c r="G42" i="2"/>
  <c r="G34" i="2"/>
  <c r="G54" i="2"/>
  <c r="G21" i="2"/>
  <c r="J52" i="2"/>
  <c r="I52" i="2"/>
  <c r="K50" i="2"/>
  <c r="J42" i="2"/>
  <c r="J34" i="2"/>
  <c r="J21" i="2"/>
  <c r="I42" i="2"/>
  <c r="I34" i="2"/>
  <c r="H42" i="1"/>
  <c r="G42" i="1"/>
  <c r="K42" i="1" s="1"/>
  <c r="J32" i="1"/>
  <c r="K18" i="1"/>
  <c r="J49" i="1"/>
  <c r="I49" i="1"/>
  <c r="I51" i="1" s="1"/>
  <c r="G32" i="1"/>
  <c r="I32" i="1"/>
  <c r="K42" i="2" l="1"/>
  <c r="K52" i="2"/>
  <c r="K34" i="2"/>
  <c r="I54" i="2"/>
  <c r="J54" i="2"/>
  <c r="G44" i="2"/>
  <c r="H56" i="2" s="1"/>
  <c r="H44" i="2"/>
  <c r="J44" i="2"/>
  <c r="K21" i="2"/>
  <c r="I44" i="2"/>
  <c r="K32" i="1"/>
  <c r="I34" i="1"/>
  <c r="I53" i="1" s="1"/>
  <c r="G34" i="1"/>
  <c r="K49" i="1"/>
  <c r="J51" i="1"/>
  <c r="J34" i="1"/>
  <c r="J53" i="1" s="1"/>
  <c r="H51" i="1"/>
  <c r="G51" i="1"/>
  <c r="H34" i="1"/>
  <c r="G56" i="2" l="1"/>
  <c r="A58" i="2" s="1"/>
  <c r="G53" i="1"/>
  <c r="K44" i="2"/>
  <c r="J56" i="2"/>
  <c r="I56" i="2"/>
  <c r="K54" i="2"/>
  <c r="G58" i="2"/>
  <c r="G60" i="2" s="1"/>
  <c r="J56" i="1"/>
  <c r="J58" i="1" s="1"/>
  <c r="I56" i="1"/>
  <c r="K51" i="1"/>
  <c r="H53" i="1"/>
  <c r="K34" i="1"/>
  <c r="H58" i="2" l="1"/>
  <c r="H60" i="2" s="1"/>
  <c r="I58" i="2"/>
  <c r="I60" i="2" s="1"/>
  <c r="I62" i="2" s="1"/>
  <c r="J58" i="2"/>
  <c r="K56" i="2"/>
  <c r="K53" i="1"/>
  <c r="H56" i="1"/>
  <c r="H58" i="1" s="1"/>
  <c r="G56" i="1"/>
  <c r="G58" i="1" s="1"/>
  <c r="G62" i="2" s="1"/>
  <c r="A56" i="1"/>
  <c r="I58" i="1"/>
  <c r="K58" i="2" l="1"/>
  <c r="H62" i="2"/>
  <c r="J60" i="2"/>
  <c r="J62" i="2" s="1"/>
  <c r="K56" i="1"/>
</calcChain>
</file>

<file path=xl/sharedStrings.xml><?xml version="1.0" encoding="utf-8"?>
<sst xmlns="http://schemas.openxmlformats.org/spreadsheetml/2006/main" count="130" uniqueCount="96">
  <si>
    <t>Bedrijf 001 Stichting Marie Schippers Fonds</t>
  </si>
  <si>
    <t>Balans - Bj 2015</t>
  </si>
  <si>
    <t>Op rapportage datum</t>
  </si>
  <si>
    <t>Vanaf rapportage datum</t>
  </si>
  <si>
    <t>T/m</t>
  </si>
  <si>
    <t>Vanaf GB-rekening</t>
  </si>
  <si>
    <t>Alle</t>
  </si>
  <si>
    <t/>
  </si>
  <si>
    <t>Onverwerkt</t>
  </si>
  <si>
    <t>Ja</t>
  </si>
  <si>
    <t>Valuta EUR x</t>
  </si>
  <si>
    <t>Winst &amp; Verlies - Bj 2015</t>
  </si>
  <si>
    <t>Balans - Selectiecriteria</t>
  </si>
  <si>
    <t>Van</t>
  </si>
  <si>
    <t>Rapportage datum</t>
  </si>
  <si>
    <t>GB-rekening</t>
  </si>
  <si>
    <t>Lay-out</t>
  </si>
  <si>
    <t>Balans</t>
  </si>
  <si>
    <t>Precisie</t>
  </si>
  <si>
    <t>Jaren</t>
  </si>
  <si>
    <t>Eindcijfers</t>
  </si>
  <si>
    <t>Nulsaldi</t>
  </si>
  <si>
    <t>Nee</t>
  </si>
  <si>
    <t>Boekjaar</t>
  </si>
  <si>
    <t>Verslag</t>
  </si>
  <si>
    <t>Type</t>
  </si>
  <si>
    <t>Standaard</t>
  </si>
  <si>
    <t>Valuta</t>
  </si>
  <si>
    <t>EUR</t>
  </si>
  <si>
    <t>Categorieën</t>
  </si>
  <si>
    <t>Groepeer op 1</t>
  </si>
  <si>
    <t>Balans / Verlies en winst</t>
  </si>
  <si>
    <t>Groepeer op 2</t>
  </si>
  <si>
    <t>Hoofd paragraaf</t>
  </si>
  <si>
    <t>Groepeer op 3</t>
  </si>
  <si>
    <t>Paragraaf</t>
  </si>
  <si>
    <t>Groepeer op 4</t>
  </si>
  <si>
    <t>Sub paragraaf</t>
  </si>
  <si>
    <t>Saldo</t>
  </si>
  <si>
    <t>Debet</t>
  </si>
  <si>
    <t>Credit</t>
  </si>
  <si>
    <t>Afwijking %</t>
  </si>
  <si>
    <t>Activa</t>
  </si>
  <si>
    <t>Vlottende activa</t>
  </si>
  <si>
    <t>Debiteuren</t>
  </si>
  <si>
    <t xml:space="preserve">     1300</t>
  </si>
  <si>
    <t>Overlopende Activa</t>
  </si>
  <si>
    <t xml:space="preserve">     2300</t>
  </si>
  <si>
    <t>Vooruit betaalde kosten</t>
  </si>
  <si>
    <t>Liquide middelen</t>
  </si>
  <si>
    <t>Bank</t>
  </si>
  <si>
    <t xml:space="preserve">     1200</t>
  </si>
  <si>
    <t>Giro</t>
  </si>
  <si>
    <t xml:space="preserve">     1201</t>
  </si>
  <si>
    <t>Kapitaal spaarrekening</t>
  </si>
  <si>
    <t>Passiva</t>
  </si>
  <si>
    <t>Vreemd vermogen kort</t>
  </si>
  <si>
    <t>Overlopende passiva</t>
  </si>
  <si>
    <t xml:space="preserve">     2400</t>
  </si>
  <si>
    <t>Nog te betalen kosten</t>
  </si>
  <si>
    <t>Eigen vermogen</t>
  </si>
  <si>
    <t>Winst en Verliesrekening</t>
  </si>
  <si>
    <t xml:space="preserve">     2500</t>
  </si>
  <si>
    <t>Algemene reserve</t>
  </si>
  <si>
    <t>Vorig jaar Onverwerkt Winst/verlies</t>
  </si>
  <si>
    <t>Totaal Balans</t>
  </si>
  <si>
    <t>Resultatenrekening</t>
  </si>
  <si>
    <t>Kosten</t>
  </si>
  <si>
    <t>Overige kosten</t>
  </si>
  <si>
    <t xml:space="preserve">     4100</t>
  </si>
  <si>
    <t>Kosten oprichtster</t>
  </si>
  <si>
    <t xml:space="preserve">     4201</t>
  </si>
  <si>
    <t>Huur kantoor</t>
  </si>
  <si>
    <t>Stichtingskosten</t>
  </si>
  <si>
    <t>Bestuur</t>
  </si>
  <si>
    <t xml:space="preserve">     4000</t>
  </si>
  <si>
    <t>Bestuursvergoedingen</t>
  </si>
  <si>
    <t xml:space="preserve">     4010</t>
  </si>
  <si>
    <t>Diners &amp; lunches</t>
  </si>
  <si>
    <t>Administratiekosten</t>
  </si>
  <si>
    <t xml:space="preserve">     4800</t>
  </si>
  <si>
    <t xml:space="preserve">     9300</t>
  </si>
  <si>
    <t>Bankkosten</t>
  </si>
  <si>
    <t>Uitgaven</t>
  </si>
  <si>
    <t>Uitgaande donaties</t>
  </si>
  <si>
    <t xml:space="preserve">     7000</t>
  </si>
  <si>
    <t>Uitgaande Donaties</t>
  </si>
  <si>
    <t xml:space="preserve">     7090</t>
  </si>
  <si>
    <t>Donaties Co Schippers Fonds</t>
  </si>
  <si>
    <t>Opbrengsten</t>
  </si>
  <si>
    <t>Ontvangsten</t>
  </si>
  <si>
    <t>Financiële resultaat</t>
  </si>
  <si>
    <t xml:space="preserve">     9400</t>
  </si>
  <si>
    <t>Rente opbrengsten</t>
  </si>
  <si>
    <t>Totaal Winst &amp; Verlies</t>
  </si>
  <si>
    <t>Totaal Balans + Winst &amp; Verlies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</si>
</sst>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\ mmmm\ yyyy"/>
    <numFmt numFmtId="165" formatCode="#,##0;\-#,##0;&quot; &quot;"/>
    <numFmt numFmtId="166" formatCode="#,##0%;\-#,##0%;&quot;&quot;"/>
    <numFmt numFmtId="167" formatCode="#,##0;\-#,##0;0"/>
  </numFmts>
  <fonts count="7" x14ac:knownFonts="1">
    <font>
      <sz val="11"/>
      <color theme="1"/>
      <name val="Calibri"/>
      <family val="2"/>
      <scheme val="minor"/>
    </font>
    <font>
      <b/>
      <sz val="16"/>
      <color theme="1"/>
      <name val="Verdana"/>
      <family val="2"/>
    </font>
    <font>
      <sz val="11"/>
      <color theme="1"/>
      <name val="Verdana"/>
      <family val="2"/>
    </font>
    <font>
      <b/>
      <sz val="11"/>
      <color theme="1"/>
      <name val="Verdana"/>
      <family val="2"/>
    </font>
    <font>
      <sz val="9"/>
      <color theme="1"/>
      <name val="Verdana"/>
      <family val="2"/>
    </font>
    <font>
      <b/>
      <sz val="9"/>
      <color rgb="FFFFFFFF"/>
      <name val="Verdana"/>
      <family val="2"/>
    </font>
    <font>
      <b/>
      <sz val="9"/>
      <color theme="1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rgb="FF0000FF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/>
    <xf numFmtId="14" fontId="2" fillId="0" borderId="0" xfId="0" applyNumberFormat="1" applyFont="1" applyAlignment="1">
      <alignment horizontal="left"/>
    </xf>
    <xf numFmtId="0" fontId="2" fillId="0" borderId="0" xfId="0" quotePrefix="1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quotePrefix="1" applyFont="1" applyAlignment="1">
      <alignment horizontal="left"/>
    </xf>
    <xf numFmtId="0" fontId="4" fillId="0" borderId="0" xfId="0" applyFont="1"/>
    <xf numFmtId="0" fontId="5" fillId="2" borderId="1" xfId="0" applyFont="1" applyFill="1" applyBorder="1" applyAlignment="1">
      <alignment horizontal="right"/>
    </xf>
    <xf numFmtId="164" fontId="5" fillId="2" borderId="3" xfId="0" applyNumberFormat="1" applyFont="1" applyFill="1" applyBorder="1" applyAlignment="1">
      <alignment horizontal="left"/>
    </xf>
    <xf numFmtId="0" fontId="5" fillId="2" borderId="2" xfId="0" applyFont="1" applyFill="1" applyBorder="1" applyAlignment="1">
      <alignment horizontal="right"/>
    </xf>
    <xf numFmtId="164" fontId="5" fillId="2" borderId="4" xfId="0" applyNumberFormat="1" applyFont="1" applyFill="1" applyBorder="1" applyAlignment="1">
      <alignment horizontal="left"/>
    </xf>
    <xf numFmtId="0" fontId="5" fillId="2" borderId="3" xfId="0" applyFont="1" applyFill="1" applyBorder="1" applyAlignment="1">
      <alignment horizontal="right"/>
    </xf>
    <xf numFmtId="0" fontId="5" fillId="2" borderId="5" xfId="0" applyFont="1" applyFill="1" applyBorder="1" applyAlignment="1">
      <alignment horizontal="right"/>
    </xf>
    <xf numFmtId="0" fontId="6" fillId="0" borderId="0" xfId="0" quotePrefix="1" applyFont="1"/>
    <xf numFmtId="0" fontId="4" fillId="0" borderId="0" xfId="0" quotePrefix="1" applyFont="1" applyAlignment="1">
      <alignment horizontal="right"/>
    </xf>
    <xf numFmtId="0" fontId="4" fillId="0" borderId="0" xfId="0" quotePrefix="1" applyFont="1"/>
    <xf numFmtId="165" fontId="4" fillId="0" borderId="0" xfId="0" applyNumberFormat="1" applyFont="1"/>
    <xf numFmtId="166" fontId="4" fillId="0" borderId="0" xfId="0" applyNumberFormat="1" applyFont="1"/>
    <xf numFmtId="0" fontId="6" fillId="0" borderId="0" xfId="0" applyFont="1"/>
    <xf numFmtId="167" fontId="6" fillId="0" borderId="0" xfId="0" applyNumberFormat="1" applyFont="1"/>
    <xf numFmtId="166" fontId="6" fillId="0" borderId="0" xfId="0" applyNumberFormat="1" applyFont="1"/>
    <xf numFmtId="165" fontId="6" fillId="0" borderId="0" xfId="0" applyNumberFormat="1" applyFont="1"/>
    <xf numFmtId="0" fontId="5" fillId="2" borderId="2" xfId="0" applyFont="1" applyFill="1" applyBorder="1"/>
    <xf numFmtId="0" fontId="5" fillId="2" borderId="3" xfId="0" applyFont="1" applyFill="1" applyBorder="1"/>
    <xf numFmtId="167" fontId="5" fillId="2" borderId="3" xfId="0" applyNumberFormat="1" applyFont="1" applyFill="1" applyBorder="1"/>
    <xf numFmtId="0" fontId="5" fillId="2" borderId="4" xfId="0" applyFont="1" applyFill="1" applyBorder="1"/>
    <xf numFmtId="166" fontId="5" fillId="2" borderId="4" xfId="0" applyNumberFormat="1" applyFont="1" applyFill="1" applyBorder="1"/>
    <xf numFmtId="0" fontId="2" fillId="0" borderId="0" xfId="0" applyFont="1"/>
    <xf numFmtId="0" fontId="1" fillId="0" borderId="0" xfId="0" applyFont="1" applyAlignment="1">
      <alignment horizontal="center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8"/>
  <sheetViews>
    <sheetView showGridLines="0" tabSelected="1" zoomScaleNormal="100" workbookViewId="0">
      <pane xSplit="6" ySplit="12" topLeftCell="G13" activePane="bottomRight" state="frozen"/>
      <selection pane="topRight" activeCell="G1" sqref="G1"/>
      <selection pane="bottomLeft" activeCell="A13" sqref="A13"/>
      <selection pane="bottomRight" sqref="A1:J1"/>
    </sheetView>
  </sheetViews>
  <sheetFormatPr defaultRowHeight="14.5" outlineLevelRow="4" x14ac:dyDescent="0.35"/>
  <cols>
    <col min="1" max="4" width="2.7265625" customWidth="1"/>
    <col min="5" max="5" width="8.453125" bestFit="1" customWidth="1"/>
    <col min="6" max="6" width="24.7265625" customWidth="1"/>
    <col min="7" max="7" width="16.7265625" customWidth="1"/>
    <col min="8" max="8" width="21.453125" bestFit="1" customWidth="1"/>
    <col min="9" max="9" width="16.7265625" customWidth="1"/>
    <col min="10" max="10" width="19.7265625" bestFit="1" customWidth="1"/>
    <col min="11" max="11" width="16.7265625" customWidth="1"/>
    <col min="22" max="22" width="0" hidden="1" customWidth="1"/>
  </cols>
  <sheetData>
    <row r="1" spans="1:22" ht="19.5" x14ac:dyDescent="0.35">
      <c r="A1" s="30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1"/>
      <c r="V1">
        <v>1</v>
      </c>
    </row>
    <row r="2" spans="1:22" ht="19.5" x14ac:dyDescent="0.35">
      <c r="A2" s="30" t="s">
        <v>1</v>
      </c>
      <c r="B2" s="30"/>
      <c r="C2" s="30"/>
      <c r="D2" s="30"/>
      <c r="E2" s="30"/>
      <c r="F2" s="30"/>
      <c r="G2" s="30"/>
      <c r="H2" s="30"/>
      <c r="I2" s="30"/>
      <c r="J2" s="30"/>
      <c r="K2" s="1"/>
      <c r="V2">
        <v>1000</v>
      </c>
    </row>
    <row r="3" spans="1:22" ht="19.5" x14ac:dyDescent="0.35">
      <c r="A3" s="30" t="s">
        <v>2</v>
      </c>
      <c r="B3" s="30"/>
      <c r="C3" s="30"/>
      <c r="D3" s="30"/>
      <c r="E3" s="30"/>
      <c r="F3" s="30"/>
      <c r="G3" s="30"/>
      <c r="H3" s="30"/>
      <c r="I3" s="30"/>
      <c r="J3" s="30"/>
      <c r="K3" s="1"/>
      <c r="V3">
        <v>10000</v>
      </c>
    </row>
    <row r="4" spans="1:22" x14ac:dyDescent="0.3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V4">
        <v>100000</v>
      </c>
    </row>
    <row r="5" spans="1:22" x14ac:dyDescent="0.35">
      <c r="A5" s="29" t="s">
        <v>3</v>
      </c>
      <c r="B5" s="29"/>
      <c r="C5" s="29"/>
      <c r="D5" s="29"/>
      <c r="E5" s="29"/>
      <c r="F5" s="2">
        <v>42005</v>
      </c>
      <c r="G5" s="1"/>
      <c r="H5" s="1" t="s">
        <v>5</v>
      </c>
      <c r="I5" s="1" t="s">
        <v>6</v>
      </c>
      <c r="J5" s="1"/>
      <c r="K5" s="1"/>
      <c r="V5">
        <v>1000000</v>
      </c>
    </row>
    <row r="6" spans="1:22" x14ac:dyDescent="0.35">
      <c r="A6" s="29" t="s">
        <v>4</v>
      </c>
      <c r="B6" s="29"/>
      <c r="C6" s="29"/>
      <c r="D6" s="29"/>
      <c r="E6" s="29"/>
      <c r="F6" s="2">
        <v>42369</v>
      </c>
      <c r="G6" s="1"/>
      <c r="H6" s="1" t="s">
        <v>4</v>
      </c>
      <c r="I6" s="3" t="s">
        <v>7</v>
      </c>
      <c r="J6" s="1"/>
      <c r="K6" s="1"/>
    </row>
    <row r="7" spans="1:22" x14ac:dyDescent="0.35">
      <c r="A7" s="29" t="s">
        <v>8</v>
      </c>
      <c r="B7" s="29"/>
      <c r="C7" s="29"/>
      <c r="D7" s="29"/>
      <c r="E7" s="29"/>
      <c r="F7" s="1" t="s">
        <v>9</v>
      </c>
      <c r="G7" s="1"/>
      <c r="H7" s="1"/>
      <c r="I7" s="1"/>
      <c r="J7" s="1"/>
      <c r="K7" s="1"/>
    </row>
    <row r="8" spans="1:22" x14ac:dyDescent="0.35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22" x14ac:dyDescent="0.35">
      <c r="A9" s="1"/>
      <c r="B9" s="1"/>
      <c r="C9" s="1"/>
      <c r="D9" s="1"/>
      <c r="E9" s="1"/>
      <c r="F9" s="1"/>
      <c r="G9" s="1"/>
      <c r="H9" s="4" t="s">
        <v>10</v>
      </c>
      <c r="I9" s="5">
        <v>1</v>
      </c>
      <c r="J9" s="1"/>
      <c r="K9" s="1"/>
    </row>
    <row r="10" spans="1:22" x14ac:dyDescent="0.3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22" x14ac:dyDescent="0.35">
      <c r="A11" s="8"/>
      <c r="B11" s="8"/>
      <c r="C11" s="8"/>
      <c r="D11" s="8"/>
      <c r="E11" s="8"/>
      <c r="F11" s="8"/>
      <c r="G11" s="9" t="s">
        <v>38</v>
      </c>
      <c r="H11" s="10">
        <v>42369</v>
      </c>
      <c r="I11" s="11" t="s">
        <v>38</v>
      </c>
      <c r="J11" s="12">
        <v>42004</v>
      </c>
      <c r="K11" s="8"/>
    </row>
    <row r="12" spans="1:22" x14ac:dyDescent="0.35">
      <c r="A12" s="11"/>
      <c r="B12" s="13"/>
      <c r="C12" s="13"/>
      <c r="D12" s="13"/>
      <c r="E12" s="13"/>
      <c r="F12" s="13"/>
      <c r="G12" s="14" t="s">
        <v>39</v>
      </c>
      <c r="H12" s="14" t="s">
        <v>40</v>
      </c>
      <c r="I12" s="14" t="s">
        <v>39</v>
      </c>
      <c r="J12" s="14" t="s">
        <v>40</v>
      </c>
      <c r="K12" s="14" t="s">
        <v>41</v>
      </c>
    </row>
    <row r="13" spans="1:22" outlineLevel="1" x14ac:dyDescent="0.35">
      <c r="A13" s="15" t="s">
        <v>17</v>
      </c>
      <c r="B13" s="8"/>
      <c r="C13" s="8"/>
      <c r="D13" s="8"/>
      <c r="E13" s="8"/>
      <c r="F13" s="8"/>
      <c r="G13" s="8"/>
      <c r="H13" s="8"/>
      <c r="I13" s="8"/>
      <c r="J13" s="8"/>
      <c r="K13" s="8"/>
    </row>
    <row r="14" spans="1:22" outlineLevel="2" x14ac:dyDescent="0.35">
      <c r="A14" s="8"/>
      <c r="B14" s="15" t="s">
        <v>42</v>
      </c>
      <c r="C14" s="8"/>
      <c r="D14" s="8"/>
      <c r="E14" s="8"/>
      <c r="F14" s="8"/>
      <c r="G14" s="8"/>
      <c r="H14" s="8"/>
      <c r="I14" s="8"/>
      <c r="J14" s="8"/>
      <c r="K14" s="8"/>
    </row>
    <row r="15" spans="1:22" outlineLevel="3" x14ac:dyDescent="0.35">
      <c r="A15" s="8"/>
      <c r="B15" s="8"/>
      <c r="C15" s="15" t="s">
        <v>43</v>
      </c>
      <c r="D15" s="8"/>
      <c r="E15" s="8"/>
      <c r="F15" s="8"/>
      <c r="G15" s="8"/>
      <c r="H15" s="8"/>
      <c r="I15" s="8"/>
      <c r="J15" s="8"/>
      <c r="K15" s="8"/>
    </row>
    <row r="16" spans="1:22" outlineLevel="4" x14ac:dyDescent="0.35">
      <c r="A16" s="8"/>
      <c r="B16" s="8"/>
      <c r="C16" s="8"/>
      <c r="D16" s="15" t="s">
        <v>44</v>
      </c>
      <c r="E16" s="8"/>
      <c r="F16" s="8"/>
      <c r="G16" s="8"/>
      <c r="H16" s="8"/>
      <c r="I16" s="8"/>
      <c r="J16" s="8"/>
      <c r="K16" s="8"/>
    </row>
    <row r="17" spans="1:11" outlineLevel="4" x14ac:dyDescent="0.35">
      <c r="A17" s="8"/>
      <c r="B17" s="8"/>
      <c r="C17" s="8"/>
      <c r="D17" s="8"/>
      <c r="E17" s="16" t="s">
        <v>45</v>
      </c>
      <c r="F17" s="17" t="s">
        <v>44</v>
      </c>
      <c r="G17" s="18">
        <f xml:space="preserve"> 286618.51/I9</f>
        <v>286618.51</v>
      </c>
      <c r="H17" s="18"/>
      <c r="I17" s="18">
        <f xml:space="preserve"> 296871.47/I9</f>
        <v>296871.46999999997</v>
      </c>
      <c r="J17" s="18"/>
      <c r="K17" s="19">
        <f>IF(ROUND(N($I$17),3) - ROUND(N($J$17),3)=0,0,(N($G$17)-N($H$17)-N($I$17)+N($J$17))/(N($I$17)-N($J$17)))</f>
        <v>-3.4536696975293595E-2</v>
      </c>
    </row>
    <row r="18" spans="1:11" outlineLevel="3" x14ac:dyDescent="0.35">
      <c r="A18" s="8"/>
      <c r="B18" s="8"/>
      <c r="C18" s="8"/>
      <c r="D18" s="20" t="str">
        <f>CONCATENATE("Totaal"," ",$D$16)</f>
        <v>Totaal Debiteuren</v>
      </c>
      <c r="E18" s="8"/>
      <c r="F18" s="8"/>
      <c r="G18" s="21">
        <f>IF(SUBTOTAL(9,$G$17)&gt;=SUBTOTAL(9,$H$17),SUBTOTAL(9,$G$17)-SUBTOTAL(9,$H$17),"")</f>
        <v>286618.51</v>
      </c>
      <c r="H18" s="21" t="str">
        <f>IF(SUBTOTAL(9,$G$17)&lt;SUBTOTAL(9,$H$17),SUBTOTAL(9,$H$17)-SUBTOTAL(9,$G$17),"")</f>
        <v/>
      </c>
      <c r="I18" s="21">
        <f>IF(SUBTOTAL(9,$I$17)&gt;=SUBTOTAL(9,$J$17),SUBTOTAL(9,$I$17)-SUBTOTAL(9,$J$17),"")</f>
        <v>296871.46999999997</v>
      </c>
      <c r="J18" s="21" t="str">
        <f>IF(SUBTOTAL(9,$I$17)&lt;SUBTOTAL(9,$J$17),SUBTOTAL(9,$J$17)-SUBTOTAL(9,$I$17),"")</f>
        <v/>
      </c>
      <c r="K18" s="22">
        <f>IF(ROUND(N($I$18),3) - ROUND(N($J$18),3)=0,0,(N($G$18)-N($H$18)-N($I$18)+N($J$18))/(N($I$18)-N($J$18)))</f>
        <v>-3.4536696975293595E-2</v>
      </c>
    </row>
    <row r="19" spans="1:11" outlineLevel="3" x14ac:dyDescent="0.35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</row>
    <row r="20" spans="1:11" outlineLevel="4" x14ac:dyDescent="0.35">
      <c r="A20" s="8"/>
      <c r="B20" s="8"/>
      <c r="C20" s="8"/>
      <c r="D20" s="15" t="s">
        <v>46</v>
      </c>
      <c r="E20" s="8"/>
      <c r="F20" s="8"/>
      <c r="G20" s="8"/>
      <c r="H20" s="8"/>
      <c r="I20" s="8"/>
      <c r="J20" s="8"/>
      <c r="K20" s="8"/>
    </row>
    <row r="21" spans="1:11" outlineLevel="4" x14ac:dyDescent="0.35">
      <c r="A21" s="8"/>
      <c r="B21" s="8"/>
      <c r="C21" s="8"/>
      <c r="D21" s="8"/>
      <c r="E21" s="16" t="s">
        <v>47</v>
      </c>
      <c r="F21" s="17" t="s">
        <v>48</v>
      </c>
      <c r="G21" s="18">
        <f xml:space="preserve"> 2206.8/I9</f>
        <v>2206.8000000000002</v>
      </c>
      <c r="H21" s="18"/>
      <c r="I21" s="18">
        <f xml:space="preserve"> 2390.7/I9</f>
        <v>2390.6999999999998</v>
      </c>
      <c r="J21" s="18"/>
      <c r="K21" s="19">
        <f>IF(ROUND(N($I$21),3) - ROUND(N($J$21),3)=0,0,(N($G$21)-N($H$21)-N($I$21)+N($J$21))/(N($I$21)-N($J$21)))</f>
        <v>-7.6923076923076775E-2</v>
      </c>
    </row>
    <row r="22" spans="1:11" outlineLevel="3" x14ac:dyDescent="0.35">
      <c r="A22" s="8"/>
      <c r="B22" s="8"/>
      <c r="C22" s="8"/>
      <c r="D22" s="20" t="str">
        <f>CONCATENATE("Totaal"," ",$D$20)</f>
        <v>Totaal Overlopende Activa</v>
      </c>
      <c r="E22" s="8"/>
      <c r="F22" s="8"/>
      <c r="G22" s="21">
        <f>IF(SUBTOTAL(9,$G$21)&gt;=SUBTOTAL(9,$H$21),SUBTOTAL(9,$G$21)-SUBTOTAL(9,$H$21),"")</f>
        <v>2206.8000000000002</v>
      </c>
      <c r="H22" s="21" t="str">
        <f>IF(SUBTOTAL(9,$G$21)&lt;SUBTOTAL(9,$H$21),SUBTOTAL(9,$H$21)-SUBTOTAL(9,$G$21),"")</f>
        <v/>
      </c>
      <c r="I22" s="21">
        <f>IF(SUBTOTAL(9,$I$21)&gt;=SUBTOTAL(9,$J$21),SUBTOTAL(9,$I$21)-SUBTOTAL(9,$J$21),"")</f>
        <v>2390.6999999999998</v>
      </c>
      <c r="J22" s="21" t="str">
        <f>IF(SUBTOTAL(9,$I$21)&lt;SUBTOTAL(9,$J$21),SUBTOTAL(9,$J$21)-SUBTOTAL(9,$I$21),"")</f>
        <v/>
      </c>
      <c r="K22" s="22">
        <f>IF(ROUND(N($I$22),3) - ROUND(N($J$22),3)=0,0,(N($G$22)-N($H$22)-N($I$22)+N($J$22))/(N($I$22)-N($J$22)))</f>
        <v>-7.6923076923076775E-2</v>
      </c>
    </row>
    <row r="23" spans="1:11" outlineLevel="3" x14ac:dyDescent="0.35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</row>
    <row r="24" spans="1:11" outlineLevel="2" x14ac:dyDescent="0.35">
      <c r="A24" s="8"/>
      <c r="B24" s="8"/>
      <c r="C24" s="20" t="str">
        <f>CONCATENATE("Totaal"," ",$C$15)</f>
        <v>Totaal Vlottende activa</v>
      </c>
      <c r="D24" s="8"/>
      <c r="E24" s="8"/>
      <c r="F24" s="8"/>
      <c r="G24" s="21">
        <f>IF(SUBTOTAL(9,$G$16:$G$23)&gt;=SUBTOTAL(9,$H$16:$H$23),SUBTOTAL(9,$G$16:$G$23)-SUBTOTAL(9,$H$16:$H$23),"")</f>
        <v>288825.31</v>
      </c>
      <c r="H24" s="21" t="str">
        <f>IF(SUBTOTAL(9,$G$16:$G$23)&lt;SUBTOTAL(9,$H$16:$H$23),SUBTOTAL(9,$H$16:$H$23)-SUBTOTAL(9,$G$16:$G$23),"")</f>
        <v/>
      </c>
      <c r="I24" s="21">
        <f>IF(SUBTOTAL(9,$I$16:$I$23)&gt;=SUBTOTAL(9,$J$16:$J$23),SUBTOTAL(9,$I$16:$I$23)-SUBTOTAL(9,$J$16:$J$23),"")</f>
        <v>299262.17</v>
      </c>
      <c r="J24" s="21" t="str">
        <f>IF(SUBTOTAL(9,$I$16:$I$23)&lt;SUBTOTAL(9,$J$16:$J$23),SUBTOTAL(9,$J$16:$J$23)-SUBTOTAL(9,$I$16:$I$23),"")</f>
        <v/>
      </c>
      <c r="K24" s="22">
        <f>IF(ROUND(N($I$24),3) - ROUND(N($J$24),3)=0,0,(N($G$24)-N($H$24)-N($I$24)+N($J$24))/(N($I$24)-N($J$24)))</f>
        <v>-3.487530682545003E-2</v>
      </c>
    </row>
    <row r="25" spans="1:11" outlineLevel="2" x14ac:dyDescent="0.35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</row>
    <row r="26" spans="1:11" outlineLevel="3" x14ac:dyDescent="0.35">
      <c r="A26" s="8"/>
      <c r="B26" s="8"/>
      <c r="C26" s="15" t="s">
        <v>49</v>
      </c>
      <c r="D26" s="8"/>
      <c r="E26" s="8"/>
      <c r="F26" s="8"/>
      <c r="G26" s="8"/>
      <c r="H26" s="8"/>
      <c r="I26" s="8"/>
      <c r="J26" s="8"/>
      <c r="K26" s="8"/>
    </row>
    <row r="27" spans="1:11" outlineLevel="4" x14ac:dyDescent="0.35">
      <c r="A27" s="8"/>
      <c r="B27" s="8"/>
      <c r="C27" s="8"/>
      <c r="D27" s="15" t="s">
        <v>50</v>
      </c>
      <c r="E27" s="8"/>
      <c r="F27" s="8"/>
      <c r="G27" s="8"/>
      <c r="H27" s="8"/>
      <c r="I27" s="8"/>
      <c r="J27" s="8"/>
      <c r="K27" s="8"/>
    </row>
    <row r="28" spans="1:11" outlineLevel="4" x14ac:dyDescent="0.35">
      <c r="A28" s="8"/>
      <c r="B28" s="8"/>
      <c r="C28" s="8"/>
      <c r="D28" s="8"/>
      <c r="E28" s="16" t="s">
        <v>51</v>
      </c>
      <c r="F28" s="17" t="s">
        <v>52</v>
      </c>
      <c r="G28" s="18">
        <f xml:space="preserve"> 80.1799999999192/I9</f>
        <v>80.179999999919204</v>
      </c>
      <c r="H28" s="18"/>
      <c r="I28" s="18">
        <f xml:space="preserve"> 1016.82999999992/I9</f>
        <v>1016.82999999992</v>
      </c>
      <c r="J28" s="18"/>
      <c r="K28" s="19">
        <f>IF(ROUND(N($I$28),3) - ROUND(N($J$28),3)=0,0,(N($G$28)-N($H$28)-N($I$28)+N($J$28))/(N($I$28)-N($J$28)))</f>
        <v>-0.9211470944013006</v>
      </c>
    </row>
    <row r="29" spans="1:11" outlineLevel="4" x14ac:dyDescent="0.35">
      <c r="A29" s="8"/>
      <c r="B29" s="8"/>
      <c r="C29" s="8"/>
      <c r="D29" s="8"/>
      <c r="E29" s="16" t="s">
        <v>53</v>
      </c>
      <c r="F29" s="17" t="s">
        <v>54</v>
      </c>
      <c r="G29" s="18">
        <f xml:space="preserve"> 1.76999999999935/I9</f>
        <v>1.7699999999993501</v>
      </c>
      <c r="H29" s="18"/>
      <c r="I29" s="18">
        <f xml:space="preserve"> 0.409999999999343/I9</f>
        <v>0.409999999999343</v>
      </c>
      <c r="J29" s="18"/>
      <c r="K29" s="19">
        <f>IF(ROUND(N($I$29),3) - ROUND(N($J$29),3)=0,0,(N($G$29)-N($H$29)-N($I$29)+N($J$29))/(N($I$29)-N($J$29)))</f>
        <v>3.3170731707370398</v>
      </c>
    </row>
    <row r="30" spans="1:11" outlineLevel="3" x14ac:dyDescent="0.35">
      <c r="A30" s="8"/>
      <c r="B30" s="8"/>
      <c r="C30" s="8"/>
      <c r="D30" s="20" t="str">
        <f>CONCATENATE("Totaal"," ",$D$27)</f>
        <v>Totaal Bank</v>
      </c>
      <c r="E30" s="8"/>
      <c r="F30" s="8"/>
      <c r="G30" s="21">
        <f>IF(SUBTOTAL(9,$G$28:$G$29)&gt;=SUBTOTAL(9,$H$28:$H$29),SUBTOTAL(9,$G$28:$G$29)-SUBTOTAL(9,$H$28:$H$29),"")</f>
        <v>81.94999999991856</v>
      </c>
      <c r="H30" s="21" t="str">
        <f>IF(SUBTOTAL(9,$G$28:$G$29)&lt;SUBTOTAL(9,$H$28:$H$29),SUBTOTAL(9,$H$28:$H$29)-SUBTOTAL(9,$G$28:$G$29),"")</f>
        <v/>
      </c>
      <c r="I30" s="21">
        <f>IF(SUBTOTAL(9,$I$28:$I$29)&gt;=SUBTOTAL(9,$J$28:$J$29),SUBTOTAL(9,$I$28:$I$29)-SUBTOTAL(9,$J$28:$J$29),"")</f>
        <v>1017.2399999999194</v>
      </c>
      <c r="J30" s="21" t="str">
        <f>IF(SUBTOTAL(9,$I$28:$I$29)&lt;SUBTOTAL(9,$J$28:$J$29),SUBTOTAL(9,$J$28:$J$29)-SUBTOTAL(9,$I$28:$I$29),"")</f>
        <v/>
      </c>
      <c r="K30" s="22">
        <f>IF(ROUND(N($I$30),3) - ROUND(N($J$30),3)=0,0,(N($G$30)-N($H$30)-N($I$30)+N($J$30))/(N($I$30)-N($J$30)))</f>
        <v>-0.91943887381549583</v>
      </c>
    </row>
    <row r="31" spans="1:11" outlineLevel="3" x14ac:dyDescent="0.35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</row>
    <row r="32" spans="1:11" outlineLevel="2" x14ac:dyDescent="0.35">
      <c r="A32" s="8"/>
      <c r="B32" s="8"/>
      <c r="C32" s="20" t="str">
        <f>CONCATENATE("Totaal"," ",$C$26)</f>
        <v>Totaal Liquide middelen</v>
      </c>
      <c r="D32" s="8"/>
      <c r="E32" s="8"/>
      <c r="F32" s="8"/>
      <c r="G32" s="21">
        <f>IF(SUBTOTAL(9,$G$27:$G$31)&gt;=SUBTOTAL(9,$H$27:$H$31),SUBTOTAL(9,$G$27:$G$31)-SUBTOTAL(9,$H$27:$H$31),"")</f>
        <v>81.94999999991856</v>
      </c>
      <c r="H32" s="21" t="str">
        <f>IF(SUBTOTAL(9,$G$27:$G$31)&lt;SUBTOTAL(9,$H$27:$H$31),SUBTOTAL(9,$H$27:$H$31)-SUBTOTAL(9,$G$27:$G$31),"")</f>
        <v/>
      </c>
      <c r="I32" s="21">
        <f>IF(SUBTOTAL(9,$I$27:$I$31)&gt;=SUBTOTAL(9,$J$27:$J$31),SUBTOTAL(9,$I$27:$I$31)-SUBTOTAL(9,$J$27:$J$31),"")</f>
        <v>1017.2399999999194</v>
      </c>
      <c r="J32" s="21" t="str">
        <f>IF(SUBTOTAL(9,$I$27:$I$31)&lt;SUBTOTAL(9,$J$27:$J$31),SUBTOTAL(9,$J$27:$J$31)-SUBTOTAL(9,$I$27:$I$31),"")</f>
        <v/>
      </c>
      <c r="K32" s="22">
        <f>IF(ROUND(N($I$32),3) - ROUND(N($J$32),3)=0,0,(N($G$32)-N($H$32)-N($I$32)+N($J$32))/(N($I$32)-N($J$32)))</f>
        <v>-0.91943887381549583</v>
      </c>
    </row>
    <row r="33" spans="1:11" outlineLevel="2" x14ac:dyDescent="0.35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</row>
    <row r="34" spans="1:11" outlineLevel="1" x14ac:dyDescent="0.35">
      <c r="A34" s="8"/>
      <c r="B34" s="20" t="str">
        <f>CONCATENATE("Totaal"," ",$B$14)</f>
        <v>Totaal Activa</v>
      </c>
      <c r="C34" s="8"/>
      <c r="D34" s="8"/>
      <c r="E34" s="8"/>
      <c r="F34" s="8"/>
      <c r="G34" s="21">
        <f>IF(SUBTOTAL(9,$G$15:$G$33)&gt;=SUBTOTAL(9,$H$15:$H$33),SUBTOTAL(9,$G$15:$G$33)-SUBTOTAL(9,$H$15:$H$33),"")</f>
        <v>288907.25999999995</v>
      </c>
      <c r="H34" s="21" t="str">
        <f>IF(SUBTOTAL(9,$G$15:$G$33)&lt;SUBTOTAL(9,$H$15:$H$33),SUBTOTAL(9,$H$15:$H$33)-SUBTOTAL(9,$G$15:$G$33),"")</f>
        <v/>
      </c>
      <c r="I34" s="21">
        <f>IF(SUBTOTAL(9,$I$15:$I$33)&gt;=SUBTOTAL(9,$J$15:$J$33),SUBTOTAL(9,$I$15:$I$33)-SUBTOTAL(9,$J$15:$J$33),"")</f>
        <v>300279.40999999986</v>
      </c>
      <c r="J34" s="21" t="str">
        <f>IF(SUBTOTAL(9,$I$15:$I$33)&lt;SUBTOTAL(9,$J$15:$J$33),SUBTOTAL(9,$J$15:$J$33)-SUBTOTAL(9,$I$15:$I$33),"")</f>
        <v/>
      </c>
      <c r="K34" s="22">
        <f>IF(ROUND(N($I$34),3) - ROUND(N($J$34),3)=0,0,(N($G$34)-N($H$34)-N($I$34)+N($J$34))/(N($I$34)-N($J$34)))</f>
        <v>-3.7871894046947518E-2</v>
      </c>
    </row>
    <row r="35" spans="1:11" outlineLevel="1" x14ac:dyDescent="0.35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</row>
    <row r="36" spans="1:11" outlineLevel="2" x14ac:dyDescent="0.35">
      <c r="A36" s="8"/>
      <c r="B36" s="15" t="s">
        <v>55</v>
      </c>
      <c r="C36" s="8"/>
      <c r="D36" s="8"/>
      <c r="E36" s="8"/>
      <c r="F36" s="8"/>
      <c r="G36" s="8"/>
      <c r="H36" s="8"/>
      <c r="I36" s="8"/>
      <c r="J36" s="8"/>
      <c r="K36" s="8"/>
    </row>
    <row r="37" spans="1:11" outlineLevel="3" x14ac:dyDescent="0.35">
      <c r="A37" s="8"/>
      <c r="B37" s="8"/>
      <c r="C37" s="15" t="s">
        <v>56</v>
      </c>
      <c r="D37" s="8"/>
      <c r="E37" s="8"/>
      <c r="F37" s="8"/>
      <c r="G37" s="8"/>
      <c r="H37" s="8"/>
      <c r="I37" s="8"/>
      <c r="J37" s="8"/>
      <c r="K37" s="8"/>
    </row>
    <row r="38" spans="1:11" outlineLevel="4" x14ac:dyDescent="0.35">
      <c r="A38" s="8"/>
      <c r="B38" s="8"/>
      <c r="C38" s="8"/>
      <c r="D38" s="15" t="s">
        <v>57</v>
      </c>
      <c r="E38" s="8"/>
      <c r="F38" s="8"/>
      <c r="G38" s="8"/>
      <c r="H38" s="8"/>
      <c r="I38" s="8"/>
      <c r="J38" s="8"/>
      <c r="K38" s="8"/>
    </row>
    <row r="39" spans="1:11" outlineLevel="4" x14ac:dyDescent="0.35">
      <c r="A39" s="8"/>
      <c r="B39" s="8"/>
      <c r="C39" s="8"/>
      <c r="D39" s="8"/>
      <c r="E39" s="16" t="s">
        <v>58</v>
      </c>
      <c r="F39" s="17" t="s">
        <v>59</v>
      </c>
      <c r="G39" s="18"/>
      <c r="H39" s="18">
        <f xml:space="preserve"> 2177.62/I9</f>
        <v>2177.62</v>
      </c>
      <c r="I39" s="18"/>
      <c r="J39" s="18">
        <f xml:space="preserve"> 1941.62/I9</f>
        <v>1941.62</v>
      </c>
      <c r="K39" s="19">
        <f>IF(ROUND(N($I$39),3) - ROUND(N($J$39),3)=0,0,(N($G$39)-N($H$39)-N($I$39)+N($J$39))/(N($I$39)-N($J$39)))</f>
        <v>0.12154798570266068</v>
      </c>
    </row>
    <row r="40" spans="1:11" outlineLevel="3" x14ac:dyDescent="0.35">
      <c r="A40" s="8"/>
      <c r="B40" s="8"/>
      <c r="C40" s="8"/>
      <c r="D40" s="20" t="str">
        <f>CONCATENATE("Totaal"," ",$D$38)</f>
        <v>Totaal Overlopende passiva</v>
      </c>
      <c r="E40" s="8"/>
      <c r="F40" s="8"/>
      <c r="G40" s="21" t="str">
        <f>IF(SUBTOTAL(9,$G$39)&gt;=SUBTOTAL(9,$H$39),SUBTOTAL(9,$G$39)-SUBTOTAL(9,$H$39),"")</f>
        <v/>
      </c>
      <c r="H40" s="21">
        <f>IF(SUBTOTAL(9,$G$39)&lt;SUBTOTAL(9,$H$39),SUBTOTAL(9,$H$39)-SUBTOTAL(9,$G$39),"")</f>
        <v>2177.62</v>
      </c>
      <c r="I40" s="21" t="str">
        <f>IF(SUBTOTAL(9,$I$39)&gt;=SUBTOTAL(9,$J$39),SUBTOTAL(9,$I$39)-SUBTOTAL(9,$J$39),"")</f>
        <v/>
      </c>
      <c r="J40" s="21">
        <f>IF(SUBTOTAL(9,$I$39)&lt;SUBTOTAL(9,$J$39),SUBTOTAL(9,$J$39)-SUBTOTAL(9,$I$39),"")</f>
        <v>1941.62</v>
      </c>
      <c r="K40" s="22">
        <f>IF(ROUND(N($I$40),3) - ROUND(N($J$40),3)=0,0,(N($G$40)-N($H$40)-N($I$40)+N($J$40))/(N($I$40)-N($J$40)))</f>
        <v>0.12154798570266068</v>
      </c>
    </row>
    <row r="41" spans="1:11" outlineLevel="3" x14ac:dyDescent="0.35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</row>
    <row r="42" spans="1:11" outlineLevel="2" x14ac:dyDescent="0.35">
      <c r="A42" s="8"/>
      <c r="B42" s="8"/>
      <c r="C42" s="20" t="str">
        <f>CONCATENATE("Totaal"," ",$C$37)</f>
        <v>Totaal Vreemd vermogen kort</v>
      </c>
      <c r="D42" s="8"/>
      <c r="E42" s="8"/>
      <c r="F42" s="8"/>
      <c r="G42" s="21" t="str">
        <f>IF(SUBTOTAL(9,$G$38:$G$41)&gt;=SUBTOTAL(9,$H$38:$H$41),SUBTOTAL(9,$G$38:$G$41)-SUBTOTAL(9,$H$38:$H$41),"")</f>
        <v/>
      </c>
      <c r="H42" s="21">
        <f>IF(SUBTOTAL(9,$G$38:$G$41)&lt;SUBTOTAL(9,$H$38:$H$41),SUBTOTAL(9,$H$38:$H$41)-SUBTOTAL(9,$G$38:$G$41),"")</f>
        <v>2177.62</v>
      </c>
      <c r="I42" s="21" t="str">
        <f>IF(SUBTOTAL(9,$I$38:$I$41)&gt;=SUBTOTAL(9,$J$38:$J$41),SUBTOTAL(9,$I$38:$I$41)-SUBTOTAL(9,$J$38:$J$41),"")</f>
        <v/>
      </c>
      <c r="J42" s="21">
        <f>IF(SUBTOTAL(9,$I$38:$I$41)&lt;SUBTOTAL(9,$J$38:$J$41),SUBTOTAL(9,$J$38:$J$41)-SUBTOTAL(9,$I$38:$I$41),"")</f>
        <v>1941.62</v>
      </c>
      <c r="K42" s="22">
        <f>IF(ROUND(N($I$42),3) - ROUND(N($J$42),3)=0,0,(N($G$42)-N($H$42)-N($I$42)+N($J$42))/(N($I$42)-N($J$42)))</f>
        <v>0.12154798570266068</v>
      </c>
    </row>
    <row r="43" spans="1:11" outlineLevel="2" x14ac:dyDescent="0.35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</row>
    <row r="44" spans="1:11" outlineLevel="3" x14ac:dyDescent="0.35">
      <c r="A44" s="8"/>
      <c r="B44" s="8"/>
      <c r="C44" s="15" t="s">
        <v>60</v>
      </c>
      <c r="D44" s="8"/>
      <c r="E44" s="8"/>
      <c r="F44" s="8"/>
      <c r="G44" s="8"/>
      <c r="H44" s="8"/>
      <c r="I44" s="8"/>
      <c r="J44" s="8"/>
      <c r="K44" s="8"/>
    </row>
    <row r="45" spans="1:11" outlineLevel="4" x14ac:dyDescent="0.35">
      <c r="A45" s="8"/>
      <c r="B45" s="8"/>
      <c r="C45" s="8"/>
      <c r="D45" s="15" t="s">
        <v>61</v>
      </c>
      <c r="E45" s="8"/>
      <c r="F45" s="8"/>
      <c r="G45" s="8"/>
      <c r="H45" s="8"/>
      <c r="I45" s="8"/>
      <c r="J45" s="8"/>
      <c r="K45" s="8"/>
    </row>
    <row r="46" spans="1:11" outlineLevel="4" x14ac:dyDescent="0.35">
      <c r="A46" s="8"/>
      <c r="B46" s="8"/>
      <c r="C46" s="8"/>
      <c r="D46" s="8"/>
      <c r="E46" s="16" t="s">
        <v>62</v>
      </c>
      <c r="F46" s="17" t="s">
        <v>63</v>
      </c>
      <c r="G46" s="18"/>
      <c r="H46" s="18">
        <f xml:space="preserve"> 309080.65/I9</f>
        <v>309080.65000000002</v>
      </c>
      <c r="I46" s="18"/>
      <c r="J46" s="18">
        <f xml:space="preserve"> 309080.65/I9</f>
        <v>309080.65000000002</v>
      </c>
      <c r="K46" s="19">
        <f>IF(ROUND(N($I$46),3) - ROUND(N($J$46),3)=0,0,(N($G$46)-N($H$46)-N($I$46)+N($J$46))/(N($I$46)-N($J$46)))</f>
        <v>0</v>
      </c>
    </row>
    <row r="47" spans="1:11" outlineLevel="3" x14ac:dyDescent="0.35">
      <c r="A47" s="8"/>
      <c r="B47" s="8"/>
      <c r="C47" s="8"/>
      <c r="D47" s="20" t="str">
        <f>CONCATENATE("Totaal"," ",$D$45)</f>
        <v>Totaal Winst en Verliesrekening</v>
      </c>
      <c r="E47" s="8"/>
      <c r="F47" s="8"/>
      <c r="G47" s="21" t="str">
        <f>IF(SUBTOTAL(9,$G$46)&gt;=SUBTOTAL(9,$H$46),SUBTOTAL(9,$G$46)-SUBTOTAL(9,$H$46),"")</f>
        <v/>
      </c>
      <c r="H47" s="21">
        <f>IF(SUBTOTAL(9,$G$46)&lt;SUBTOTAL(9,$H$46),SUBTOTAL(9,$H$46)-SUBTOTAL(9,$G$46),"")</f>
        <v>309080.65000000002</v>
      </c>
      <c r="I47" s="21" t="str">
        <f>IF(SUBTOTAL(9,$I$46)&gt;=SUBTOTAL(9,$J$46),SUBTOTAL(9,$I$46)-SUBTOTAL(9,$J$46),"")</f>
        <v/>
      </c>
      <c r="J47" s="21">
        <f>IF(SUBTOTAL(9,$I$46)&lt;SUBTOTAL(9,$J$46),SUBTOTAL(9,$J$46)-SUBTOTAL(9,$I$46),"")</f>
        <v>309080.65000000002</v>
      </c>
      <c r="K47" s="22">
        <f>IF(ROUND(N($I$47),3) - ROUND(N($J$47),3)=0,0,(N($G$47)-N($H$47)-N($I$47)+N($J$47))/(N($I$47)-N($J$47)))</f>
        <v>0</v>
      </c>
    </row>
    <row r="48" spans="1:11" outlineLevel="3" x14ac:dyDescent="0.35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</row>
    <row r="49" spans="1:11" outlineLevel="2" x14ac:dyDescent="0.35">
      <c r="A49" s="8"/>
      <c r="B49" s="8"/>
      <c r="C49" s="20" t="str">
        <f>CONCATENATE("Totaal"," ",$C$44)</f>
        <v>Totaal Eigen vermogen</v>
      </c>
      <c r="D49" s="8"/>
      <c r="E49" s="8"/>
      <c r="F49" s="8"/>
      <c r="G49" s="21" t="str">
        <f>IF(SUBTOTAL(9,$G$45:$G$48)&gt;=SUBTOTAL(9,$H$45:$H$48),SUBTOTAL(9,$G$45:$G$48)-SUBTOTAL(9,$H$45:$H$48),"")</f>
        <v/>
      </c>
      <c r="H49" s="21">
        <f>IF(SUBTOTAL(9,$G$45:$G$48)&lt;SUBTOTAL(9,$H$45:$H$48),SUBTOTAL(9,$H$45:$H$48)-SUBTOTAL(9,$G$45:$G$48),"")</f>
        <v>309080.65000000002</v>
      </c>
      <c r="I49" s="21" t="str">
        <f>IF(SUBTOTAL(9,$I$45:$I$48)&gt;=SUBTOTAL(9,$J$45:$J$48),SUBTOTAL(9,$I$45:$I$48)-SUBTOTAL(9,$J$45:$J$48),"")</f>
        <v/>
      </c>
      <c r="J49" s="21">
        <f>IF(SUBTOTAL(9,$I$45:$I$48)&lt;SUBTOTAL(9,$J$45:$J$48),SUBTOTAL(9,$J$45:$J$48)-SUBTOTAL(9,$I$45:$I$48),"")</f>
        <v>309080.65000000002</v>
      </c>
      <c r="K49" s="22">
        <f>IF(ROUND(N($I$49),3) - ROUND(N($J$49),3)=0,0,(N($G$49)-N($H$49)-N($I$49)+N($J$49))/(N($I$49)-N($J$49)))</f>
        <v>0</v>
      </c>
    </row>
    <row r="50" spans="1:11" outlineLevel="2" x14ac:dyDescent="0.35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</row>
    <row r="51" spans="1:11" outlineLevel="1" x14ac:dyDescent="0.35">
      <c r="A51" s="8"/>
      <c r="B51" s="20" t="str">
        <f>CONCATENATE("Totaal"," ",$B$36)</f>
        <v>Totaal Passiva</v>
      </c>
      <c r="C51" s="8"/>
      <c r="D51" s="8"/>
      <c r="E51" s="8"/>
      <c r="F51" s="8"/>
      <c r="G51" s="21" t="str">
        <f>IF(SUBTOTAL(9,$G$37:$G$50)&gt;=SUBTOTAL(9,$H$37:$H$50),SUBTOTAL(9,$G$37:$G$50)-SUBTOTAL(9,$H$37:$H$50),"")</f>
        <v/>
      </c>
      <c r="H51" s="21">
        <f>IF(SUBTOTAL(9,$G$37:$G$50)&lt;SUBTOTAL(9,$H$37:$H$50),SUBTOTAL(9,$H$37:$H$50)-SUBTOTAL(9,$G$37:$G$50),"")</f>
        <v>311258.27</v>
      </c>
      <c r="I51" s="21" t="str">
        <f>IF(SUBTOTAL(9,$I$37:$I$50)&gt;=SUBTOTAL(9,$J$37:$J$50),SUBTOTAL(9,$I$37:$I$50)-SUBTOTAL(9,$J$37:$J$50),"")</f>
        <v/>
      </c>
      <c r="J51" s="21">
        <f>IF(SUBTOTAL(9,$I$37:$I$50)&lt;SUBTOTAL(9,$J$37:$J$50),SUBTOTAL(9,$J$37:$J$50)-SUBTOTAL(9,$I$37:$I$50),"")</f>
        <v>311022.27</v>
      </c>
      <c r="K51" s="22">
        <f>IF(ROUND(N($I$51),3) - ROUND(N($J$51),3)=0,0,(N($G$51)-N($H$51)-N($I$51)+N($J$51))/(N($I$51)-N($J$51)))</f>
        <v>7.5878810864572494E-4</v>
      </c>
    </row>
    <row r="52" spans="1:11" outlineLevel="1" x14ac:dyDescent="0.35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</row>
    <row r="53" spans="1:11" x14ac:dyDescent="0.35">
      <c r="A53" s="20" t="str">
        <f>CONCATENATE("Totaal"," ",$A$13)</f>
        <v>Totaal Balans</v>
      </c>
      <c r="B53" s="8"/>
      <c r="C53" s="8"/>
      <c r="D53" s="8"/>
      <c r="E53" s="8"/>
      <c r="F53" s="8"/>
      <c r="G53" s="21" t="str">
        <f>IF(SUBTOTAL(9,$G$14:$G$52)&gt;=SUBTOTAL(9,$H$14:$H$52),SUBTOTAL(9,$G$14:$G$52)-SUBTOTAL(9,$H$14:$H$52),"")</f>
        <v/>
      </c>
      <c r="H53" s="21">
        <f>IF(SUBTOTAL(9,$G$14:$G$52)&lt;SUBTOTAL(9,$H$14:$H$52),SUBTOTAL(9,$H$14:$H$52)-SUBTOTAL(9,$G$14:$G$52),"")</f>
        <v>22351.010000000068</v>
      </c>
      <c r="I53" s="21" t="str">
        <f>IF(SUBTOTAL(9,$I$14:$I$52)&gt;=SUBTOTAL(9,$J$14:$J$52),SUBTOTAL(9,$I$14:$I$52)-SUBTOTAL(9,$J$14:$J$52),"")</f>
        <v/>
      </c>
      <c r="J53" s="21">
        <f>IF(SUBTOTAL(9,$I$14:$I$52)&lt;SUBTOTAL(9,$J$14:$J$52),SUBTOTAL(9,$J$14:$J$52)-SUBTOTAL(9,$I$14:$I$52),"")</f>
        <v>10742.860000000161</v>
      </c>
      <c r="K53" s="22">
        <f>IF(ROUND(N($I$53),3) - ROUND(N($J$53),3)=0,0,(N($G$53)-N($H$53)-N($I$53)+N($J$53))/(N($I$53)-N($J$53)))</f>
        <v>1.0805455902804033</v>
      </c>
    </row>
    <row r="54" spans="1:11" x14ac:dyDescent="0.35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</row>
    <row r="55" spans="1:11" x14ac:dyDescent="0.35">
      <c r="A55" s="20" t="s">
        <v>64</v>
      </c>
      <c r="B55" s="8"/>
      <c r="C55" s="8"/>
      <c r="D55" s="8"/>
      <c r="E55" s="8"/>
      <c r="F55" s="8"/>
      <c r="G55" s="23">
        <f xml:space="preserve"> 10742.8599999993/I9</f>
        <v>10742.8599999993</v>
      </c>
      <c r="H55" s="23"/>
      <c r="I55" s="8"/>
      <c r="J55" s="8"/>
      <c r="K55" s="8"/>
    </row>
    <row r="56" spans="1:11" x14ac:dyDescent="0.35">
      <c r="A56" s="20" t="str">
        <f>IF(SUBTOTAL(9,$G$13:$G$55)&gt;SUBTOTAL(9,$H$13:$H$55),"Winstsaldo","Saldoverlies")</f>
        <v>Saldoverlies</v>
      </c>
      <c r="B56" s="8"/>
      <c r="C56" s="8"/>
      <c r="D56" s="8"/>
      <c r="E56" s="8"/>
      <c r="F56" s="8"/>
      <c r="G56" s="21">
        <f>IF(SUBTOTAL(9,$G$13:$G$55)&lt;=SUBTOTAL(9,$H$13:$H$55),SUBTOTAL(9,$H$13:$H$55)-SUBTOTAL(9,$G$13:$G$55),"")</f>
        <v>11608.15000000078</v>
      </c>
      <c r="H56" s="21" t="str">
        <f>IF(SUBTOTAL(9,$G$13:$G$55)&gt;SUBTOTAL(9,$H$13:$H$55),SUBTOTAL(9,$G$13:$G$55)-SUBTOTAL(9,$H$13:$H$55),"")</f>
        <v/>
      </c>
      <c r="I56" s="21">
        <f>IF(SUBTOTAL(9,$I$13:$I$55)&lt;=SUBTOTAL(9,$J$13:$J$55),SUBTOTAL(9,$J$13:$J$55)-SUBTOTAL(9,$I$13:$I$55),"")</f>
        <v>10742.860000000161</v>
      </c>
      <c r="J56" s="21" t="str">
        <f>IF(SUBTOTAL(9,$I$13:$I$55)&gt;SUBTOTAL(9,$J$13:$J$55),SUBTOTAL(9,$I$13:$I$55)-SUBTOTAL(9,$J$13:$J$55),"")</f>
        <v/>
      </c>
      <c r="K56" s="22">
        <f>IF(ROUND(N($I$56),3) - ROUND(N($J$56),3)=0,0,(N($G$56)-N($H$56)-N($I$56)+N($J$56))/(N($I$56)-N($J$56)))</f>
        <v>8.0545590280484566E-2</v>
      </c>
    </row>
    <row r="57" spans="1:11" x14ac:dyDescent="0.35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</row>
    <row r="58" spans="1:11" x14ac:dyDescent="0.35">
      <c r="A58" s="24" t="s">
        <v>65</v>
      </c>
      <c r="B58" s="25"/>
      <c r="C58" s="25"/>
      <c r="D58" s="25"/>
      <c r="E58" s="25"/>
      <c r="F58" s="25"/>
      <c r="G58" s="26">
        <f>SUM($G$53,$G$55,$G$56)</f>
        <v>22351.010000000082</v>
      </c>
      <c r="H58" s="26">
        <f>SUM($H$53,$H$55,$H$56)</f>
        <v>22351.010000000068</v>
      </c>
      <c r="I58" s="26">
        <f>SUM($I$53,$I$56)</f>
        <v>10742.860000000161</v>
      </c>
      <c r="J58" s="26">
        <f>SUM($J$53,$J$56)</f>
        <v>10742.860000000161</v>
      </c>
      <c r="K58" s="27"/>
    </row>
  </sheetData>
  <mergeCells count="6">
    <mergeCell ref="A7:E7"/>
    <mergeCell ref="A1:J1"/>
    <mergeCell ref="A2:J2"/>
    <mergeCell ref="A3:J3"/>
    <mergeCell ref="A5:E5"/>
    <mergeCell ref="A6:E6"/>
  </mergeCells>
  <dataValidations count="1">
    <dataValidation type="list" allowBlank="1" showInputMessage="1" showErrorMessage="1" sqref="I9">
      <formula1>$V$1:$V$5</formula1>
    </dataValidation>
  </dataValidations>
  <pageMargins left="0.27777777777777779" right="0.27777777777777779" top="0.27777777777777779" bottom="0.41666666666666669" header="0.3" footer="0.1388888888888889"/>
  <pageSetup paperSize="9" scale="73" fitToHeight="0" orientation="portrait" horizontalDpi="0" verticalDpi="0" r:id="rId1"/>
  <headerFooter>
    <oddFooter>&amp;LBalans - Bj 2015, 001 Stichting Marie Schippers Fonds&amp;R23-5-2016 11:26:12 Pagina &amp;P van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2"/>
  <sheetViews>
    <sheetView showGridLines="0" zoomScaleNormal="100" workbookViewId="0">
      <pane xSplit="6" ySplit="12" topLeftCell="G13" activePane="bottomRight" state="frozen"/>
      <selection pane="topRight" activeCell="G1" sqref="G1"/>
      <selection pane="bottomLeft" activeCell="A13" sqref="A13"/>
      <selection pane="bottomRight" sqref="A1:J1"/>
    </sheetView>
  </sheetViews>
  <sheetFormatPr defaultRowHeight="14.5" outlineLevelRow="4" x14ac:dyDescent="0.35"/>
  <cols>
    <col min="1" max="4" width="2.7265625" customWidth="1"/>
    <col min="5" max="5" width="8.453125" bestFit="1" customWidth="1"/>
    <col min="6" max="6" width="24.7265625" customWidth="1"/>
    <col min="7" max="7" width="16.7265625" customWidth="1"/>
    <col min="8" max="8" width="21.453125" bestFit="1" customWidth="1"/>
    <col min="9" max="9" width="16.7265625" customWidth="1"/>
    <col min="10" max="10" width="19.7265625" bestFit="1" customWidth="1"/>
    <col min="11" max="11" width="16.7265625" customWidth="1"/>
    <col min="22" max="22" width="0" hidden="1" customWidth="1"/>
  </cols>
  <sheetData>
    <row r="1" spans="1:22" ht="19.5" x14ac:dyDescent="0.35">
      <c r="A1" s="30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1"/>
      <c r="V1">
        <v>1</v>
      </c>
    </row>
    <row r="2" spans="1:22" ht="19.5" x14ac:dyDescent="0.35">
      <c r="A2" s="30" t="s">
        <v>11</v>
      </c>
      <c r="B2" s="30"/>
      <c r="C2" s="30"/>
      <c r="D2" s="30"/>
      <c r="E2" s="30"/>
      <c r="F2" s="30"/>
      <c r="G2" s="30"/>
      <c r="H2" s="30"/>
      <c r="I2" s="30"/>
      <c r="J2" s="30"/>
      <c r="K2" s="1"/>
      <c r="V2">
        <v>1000</v>
      </c>
    </row>
    <row r="3" spans="1:22" ht="19.5" x14ac:dyDescent="0.35">
      <c r="A3" s="30" t="s">
        <v>2</v>
      </c>
      <c r="B3" s="30"/>
      <c r="C3" s="30"/>
      <c r="D3" s="30"/>
      <c r="E3" s="30"/>
      <c r="F3" s="30"/>
      <c r="G3" s="30"/>
      <c r="H3" s="30"/>
      <c r="I3" s="30"/>
      <c r="J3" s="30"/>
      <c r="K3" s="1"/>
      <c r="V3">
        <v>10000</v>
      </c>
    </row>
    <row r="4" spans="1:22" x14ac:dyDescent="0.3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V4">
        <v>100000</v>
      </c>
    </row>
    <row r="5" spans="1:22" x14ac:dyDescent="0.35">
      <c r="A5" s="29" t="s">
        <v>3</v>
      </c>
      <c r="B5" s="29"/>
      <c r="C5" s="29"/>
      <c r="D5" s="29"/>
      <c r="E5" s="29"/>
      <c r="F5" s="2">
        <v>42005</v>
      </c>
      <c r="G5" s="1"/>
      <c r="H5" s="1" t="s">
        <v>5</v>
      </c>
      <c r="I5" s="1" t="s">
        <v>6</v>
      </c>
      <c r="J5" s="1"/>
      <c r="K5" s="1"/>
      <c r="V5">
        <v>1000000</v>
      </c>
    </row>
    <row r="6" spans="1:22" x14ac:dyDescent="0.35">
      <c r="A6" s="29" t="s">
        <v>4</v>
      </c>
      <c r="B6" s="29"/>
      <c r="C6" s="29"/>
      <c r="D6" s="29"/>
      <c r="E6" s="29"/>
      <c r="F6" s="2">
        <v>42369</v>
      </c>
      <c r="G6" s="1"/>
      <c r="H6" s="1" t="s">
        <v>4</v>
      </c>
      <c r="I6" s="3" t="s">
        <v>7</v>
      </c>
      <c r="J6" s="1"/>
      <c r="K6" s="1"/>
    </row>
    <row r="7" spans="1:22" x14ac:dyDescent="0.35">
      <c r="A7" s="29" t="s">
        <v>8</v>
      </c>
      <c r="B7" s="29"/>
      <c r="C7" s="29"/>
      <c r="D7" s="29"/>
      <c r="E7" s="29"/>
      <c r="F7" s="1" t="s">
        <v>9</v>
      </c>
      <c r="G7" s="1"/>
      <c r="H7" s="1"/>
      <c r="I7" s="1"/>
      <c r="J7" s="1"/>
      <c r="K7" s="1"/>
    </row>
    <row r="8" spans="1:22" x14ac:dyDescent="0.35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22" x14ac:dyDescent="0.35">
      <c r="A9" s="1"/>
      <c r="B9" s="1"/>
      <c r="C9" s="1"/>
      <c r="D9" s="1"/>
      <c r="E9" s="1"/>
      <c r="F9" s="1"/>
      <c r="G9" s="1"/>
      <c r="H9" s="4" t="s">
        <v>10</v>
      </c>
      <c r="I9" s="5">
        <v>1</v>
      </c>
      <c r="J9" s="1"/>
      <c r="K9" s="1"/>
    </row>
    <row r="10" spans="1:22" x14ac:dyDescent="0.3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22" x14ac:dyDescent="0.35">
      <c r="A11" s="8"/>
      <c r="B11" s="8"/>
      <c r="C11" s="8"/>
      <c r="D11" s="8"/>
      <c r="E11" s="8"/>
      <c r="F11" s="8"/>
      <c r="G11" s="9" t="s">
        <v>38</v>
      </c>
      <c r="H11" s="10">
        <v>42369</v>
      </c>
      <c r="I11" s="11" t="s">
        <v>38</v>
      </c>
      <c r="J11" s="12">
        <v>42004</v>
      </c>
      <c r="K11" s="8"/>
    </row>
    <row r="12" spans="1:22" x14ac:dyDescent="0.35">
      <c r="A12" s="11"/>
      <c r="B12" s="13"/>
      <c r="C12" s="13"/>
      <c r="D12" s="13"/>
      <c r="E12" s="13"/>
      <c r="F12" s="13"/>
      <c r="G12" s="14" t="s">
        <v>39</v>
      </c>
      <c r="H12" s="14" t="s">
        <v>40</v>
      </c>
      <c r="I12" s="14" t="s">
        <v>39</v>
      </c>
      <c r="J12" s="14" t="s">
        <v>40</v>
      </c>
      <c r="K12" s="14" t="s">
        <v>41</v>
      </c>
    </row>
    <row r="13" spans="1:22" outlineLevel="1" x14ac:dyDescent="0.35">
      <c r="A13" s="15" t="s">
        <v>66</v>
      </c>
      <c r="B13" s="8"/>
      <c r="C13" s="8"/>
      <c r="D13" s="8"/>
      <c r="E13" s="8"/>
      <c r="F13" s="8"/>
      <c r="G13" s="8"/>
      <c r="H13" s="8"/>
      <c r="I13" s="8"/>
      <c r="J13" s="8"/>
      <c r="K13" s="8"/>
    </row>
    <row r="14" spans="1:22" outlineLevel="2" x14ac:dyDescent="0.35">
      <c r="A14" s="8"/>
      <c r="B14" s="15" t="s">
        <v>67</v>
      </c>
      <c r="C14" s="8"/>
      <c r="D14" s="8"/>
      <c r="E14" s="8"/>
      <c r="F14" s="8"/>
      <c r="G14" s="8"/>
      <c r="H14" s="8"/>
      <c r="I14" s="8"/>
      <c r="J14" s="8"/>
      <c r="K14" s="8"/>
    </row>
    <row r="15" spans="1:22" outlineLevel="3" x14ac:dyDescent="0.35">
      <c r="A15" s="8"/>
      <c r="B15" s="8"/>
      <c r="C15" s="15" t="s">
        <v>68</v>
      </c>
      <c r="D15" s="8"/>
      <c r="E15" s="8"/>
      <c r="F15" s="8"/>
      <c r="G15" s="8"/>
      <c r="H15" s="8"/>
      <c r="I15" s="8"/>
      <c r="J15" s="8"/>
      <c r="K15" s="8"/>
    </row>
    <row r="16" spans="1:22" outlineLevel="4" x14ac:dyDescent="0.35">
      <c r="A16" s="8"/>
      <c r="B16" s="8"/>
      <c r="C16" s="8"/>
      <c r="D16" s="15" t="s">
        <v>68</v>
      </c>
      <c r="E16" s="8"/>
      <c r="F16" s="8"/>
      <c r="G16" s="8"/>
      <c r="H16" s="8"/>
      <c r="I16" s="8"/>
      <c r="J16" s="8"/>
      <c r="K16" s="8"/>
    </row>
    <row r="17" spans="1:11" outlineLevel="4" x14ac:dyDescent="0.35">
      <c r="A17" s="8"/>
      <c r="B17" s="8"/>
      <c r="C17" s="8"/>
      <c r="D17" s="8"/>
      <c r="E17" s="16" t="s">
        <v>69</v>
      </c>
      <c r="F17" s="17" t="s">
        <v>70</v>
      </c>
      <c r="G17" s="18">
        <f xml:space="preserve"> 183.9/I9</f>
        <v>183.9</v>
      </c>
      <c r="H17" s="18"/>
      <c r="I17" s="18">
        <f xml:space="preserve"> 183.9/I9</f>
        <v>183.9</v>
      </c>
      <c r="J17" s="18"/>
      <c r="K17" s="19">
        <f>IF(ROUND(N($I$17),3) - ROUND(N($J$17),3)=0,0,(N($G$17)-N($H$17)-N($I$17)+N($J$17))/(N($I$17)-N($J$17)))</f>
        <v>0</v>
      </c>
    </row>
    <row r="18" spans="1:11" outlineLevel="4" x14ac:dyDescent="0.35">
      <c r="A18" s="8"/>
      <c r="B18" s="8"/>
      <c r="C18" s="8"/>
      <c r="D18" s="8"/>
      <c r="E18" s="16" t="s">
        <v>71</v>
      </c>
      <c r="F18" s="17" t="s">
        <v>72</v>
      </c>
      <c r="G18" s="18">
        <f xml:space="preserve"> 2400/I9</f>
        <v>2400</v>
      </c>
      <c r="H18" s="18"/>
      <c r="I18" s="18">
        <f xml:space="preserve"> 2400/I9</f>
        <v>2400</v>
      </c>
      <c r="J18" s="18"/>
      <c r="K18" s="19">
        <f>IF(ROUND(N($I$18),3) - ROUND(N($J$18),3)=0,0,(N($G$18)-N($H$18)-N($I$18)+N($J$18))/(N($I$18)-N($J$18)))</f>
        <v>0</v>
      </c>
    </row>
    <row r="19" spans="1:11" outlineLevel="3" x14ac:dyDescent="0.35">
      <c r="A19" s="8"/>
      <c r="B19" s="8"/>
      <c r="C19" s="8"/>
      <c r="D19" s="20" t="str">
        <f>CONCATENATE("Totaal"," ",$D$16)</f>
        <v>Totaal Overige kosten</v>
      </c>
      <c r="E19" s="8"/>
      <c r="F19" s="8"/>
      <c r="G19" s="21">
        <f>IF(SUBTOTAL(9,$G$17:$G$18)&gt;=SUBTOTAL(9,$H$17:$H$18),SUBTOTAL(9,$G$17:$G$18)-SUBTOTAL(9,$H$17:$H$18),"")</f>
        <v>2583.9</v>
      </c>
      <c r="H19" s="21" t="str">
        <f>IF(SUBTOTAL(9,$G$17:$G$18)&lt;SUBTOTAL(9,$H$17:$H$18),SUBTOTAL(9,$H$17:$H$18)-SUBTOTAL(9,$G$17:$G$18),"")</f>
        <v/>
      </c>
      <c r="I19" s="21">
        <f>IF(SUBTOTAL(9,$I$17:$I$18)&gt;=SUBTOTAL(9,$J$17:$J$18),SUBTOTAL(9,$I$17:$I$18)-SUBTOTAL(9,$J$17:$J$18),"")</f>
        <v>2583.9</v>
      </c>
      <c r="J19" s="21" t="str">
        <f>IF(SUBTOTAL(9,$I$17:$I$18)&lt;SUBTOTAL(9,$J$17:$J$18),SUBTOTAL(9,$J$17:$J$18)-SUBTOTAL(9,$I$17:$I$18),"")</f>
        <v/>
      </c>
      <c r="K19" s="22">
        <f>IF(ROUND(N($I$19),3) - ROUND(N($J$19),3)=0,0,(N($G$19)-N($H$19)-N($I$19)+N($J$19))/(N($I$19)-N($J$19)))</f>
        <v>0</v>
      </c>
    </row>
    <row r="20" spans="1:11" outlineLevel="3" x14ac:dyDescent="0.35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</row>
    <row r="21" spans="1:11" outlineLevel="2" x14ac:dyDescent="0.35">
      <c r="A21" s="8"/>
      <c r="B21" s="8"/>
      <c r="C21" s="20" t="str">
        <f>CONCATENATE("Totaal"," ",$C$15)</f>
        <v>Totaal Overige kosten</v>
      </c>
      <c r="D21" s="8"/>
      <c r="E21" s="8"/>
      <c r="F21" s="8"/>
      <c r="G21" s="21">
        <f>IF(SUBTOTAL(9,$G$16:$G$20)&gt;=SUBTOTAL(9,$H$16:$H$20),SUBTOTAL(9,$G$16:$G$20)-SUBTOTAL(9,$H$16:$H$20),"")</f>
        <v>2583.9</v>
      </c>
      <c r="H21" s="21" t="str">
        <f>IF(SUBTOTAL(9,$G$16:$G$20)&lt;SUBTOTAL(9,$H$16:$H$20),SUBTOTAL(9,$H$16:$H$20)-SUBTOTAL(9,$G$16:$G$20),"")</f>
        <v/>
      </c>
      <c r="I21" s="21">
        <f>IF(SUBTOTAL(9,$I$16:$I$20)&gt;=SUBTOTAL(9,$J$16:$J$20),SUBTOTAL(9,$I$16:$I$20)-SUBTOTAL(9,$J$16:$J$20),"")</f>
        <v>2583.9</v>
      </c>
      <c r="J21" s="21" t="str">
        <f>IF(SUBTOTAL(9,$I$16:$I$20)&lt;SUBTOTAL(9,$J$16:$J$20),SUBTOTAL(9,$J$16:$J$20)-SUBTOTAL(9,$I$16:$I$20),"")</f>
        <v/>
      </c>
      <c r="K21" s="22">
        <f>IF(ROUND(N($I$21),3) - ROUND(N($J$21),3)=0,0,(N($G$21)-N($H$21)-N($I$21)+N($J$21))/(N($I$21)-N($J$21)))</f>
        <v>0</v>
      </c>
    </row>
    <row r="22" spans="1:11" outlineLevel="2" x14ac:dyDescent="0.35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</row>
    <row r="23" spans="1:11" outlineLevel="3" x14ac:dyDescent="0.35">
      <c r="A23" s="8"/>
      <c r="B23" s="8"/>
      <c r="C23" s="15" t="s">
        <v>73</v>
      </c>
      <c r="D23" s="8"/>
      <c r="E23" s="8"/>
      <c r="F23" s="8"/>
      <c r="G23" s="8"/>
      <c r="H23" s="8"/>
      <c r="I23" s="8"/>
      <c r="J23" s="8"/>
      <c r="K23" s="8"/>
    </row>
    <row r="24" spans="1:11" outlineLevel="4" x14ac:dyDescent="0.35">
      <c r="A24" s="8"/>
      <c r="B24" s="8"/>
      <c r="C24" s="8"/>
      <c r="D24" s="15" t="s">
        <v>74</v>
      </c>
      <c r="E24" s="8"/>
      <c r="F24" s="8"/>
      <c r="G24" s="8"/>
      <c r="H24" s="8"/>
      <c r="I24" s="8"/>
      <c r="J24" s="8"/>
      <c r="K24" s="8"/>
    </row>
    <row r="25" spans="1:11" outlineLevel="4" x14ac:dyDescent="0.35">
      <c r="A25" s="8"/>
      <c r="B25" s="8"/>
      <c r="C25" s="8"/>
      <c r="D25" s="8"/>
      <c r="E25" s="16" t="s">
        <v>75</v>
      </c>
      <c r="F25" s="17" t="s">
        <v>76</v>
      </c>
      <c r="G25" s="18">
        <f xml:space="preserve"> 2167.2/I9</f>
        <v>2167.1999999999998</v>
      </c>
      <c r="H25" s="18"/>
      <c r="I25" s="18">
        <f xml:space="preserve"> 2778.8/I9</f>
        <v>2778.8</v>
      </c>
      <c r="J25" s="18"/>
      <c r="K25" s="19">
        <f>IF(ROUND(N($I$25),3) - ROUND(N($J$25),3)=0,0,(N($G$25)-N($H$25)-N($I$25)+N($J$25))/(N($I$25)-N($J$25)))</f>
        <v>-0.22009500503814608</v>
      </c>
    </row>
    <row r="26" spans="1:11" outlineLevel="4" x14ac:dyDescent="0.35">
      <c r="A26" s="8"/>
      <c r="B26" s="8"/>
      <c r="C26" s="8"/>
      <c r="D26" s="8"/>
      <c r="E26" s="16" t="s">
        <v>77</v>
      </c>
      <c r="F26" s="17" t="s">
        <v>78</v>
      </c>
      <c r="G26" s="18">
        <f xml:space="preserve"> 185.38/I9</f>
        <v>185.38</v>
      </c>
      <c r="H26" s="18"/>
      <c r="I26" s="18">
        <f xml:space="preserve"> 634.7/I9</f>
        <v>634.70000000000005</v>
      </c>
      <c r="J26" s="18"/>
      <c r="K26" s="19">
        <f>IF(ROUND(N($I$26),3) - ROUND(N($J$26),3)=0,0,(N($G$26)-N($H$26)-N($I$26)+N($J$26))/(N($I$26)-N($J$26)))</f>
        <v>-0.70792500393886881</v>
      </c>
    </row>
    <row r="27" spans="1:11" outlineLevel="3" x14ac:dyDescent="0.35">
      <c r="A27" s="8"/>
      <c r="B27" s="8"/>
      <c r="C27" s="8"/>
      <c r="D27" s="20" t="str">
        <f>CONCATENATE("Totaal"," ",$D$24)</f>
        <v>Totaal Bestuur</v>
      </c>
      <c r="E27" s="8"/>
      <c r="F27" s="8"/>
      <c r="G27" s="21">
        <f>IF(SUBTOTAL(9,$G$25:$G$26)&gt;=SUBTOTAL(9,$H$25:$H$26),SUBTOTAL(9,$G$25:$G$26)-SUBTOTAL(9,$H$25:$H$26),"")</f>
        <v>2352.58</v>
      </c>
      <c r="H27" s="21" t="str">
        <f>IF(SUBTOTAL(9,$G$25:$G$26)&lt;SUBTOTAL(9,$H$25:$H$26),SUBTOTAL(9,$H$25:$H$26)-SUBTOTAL(9,$G$25:$G$26),"")</f>
        <v/>
      </c>
      <c r="I27" s="21">
        <f>IF(SUBTOTAL(9,$I$25:$I$26)&gt;=SUBTOTAL(9,$J$25:$J$26),SUBTOTAL(9,$I$25:$I$26)-SUBTOTAL(9,$J$25:$J$26),"")</f>
        <v>3413.5</v>
      </c>
      <c r="J27" s="21" t="str">
        <f>IF(SUBTOTAL(9,$I$25:$I$26)&lt;SUBTOTAL(9,$J$25:$J$26),SUBTOTAL(9,$J$25:$J$26)-SUBTOTAL(9,$I$25:$I$26),"")</f>
        <v/>
      </c>
      <c r="K27" s="22">
        <f>IF(ROUND(N($I$27),3) - ROUND(N($J$27),3)=0,0,(N($G$27)-N($H$27)-N($I$27)+N($J$27))/(N($I$27)-N($J$27)))</f>
        <v>-0.31080123040867147</v>
      </c>
    </row>
    <row r="28" spans="1:11" outlineLevel="3" x14ac:dyDescent="0.35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</row>
    <row r="29" spans="1:11" outlineLevel="4" x14ac:dyDescent="0.35">
      <c r="A29" s="8"/>
      <c r="B29" s="8"/>
      <c r="C29" s="8"/>
      <c r="D29" s="15" t="s">
        <v>79</v>
      </c>
      <c r="E29" s="8"/>
      <c r="F29" s="8"/>
      <c r="G29" s="8"/>
      <c r="H29" s="8"/>
      <c r="I29" s="8"/>
      <c r="J29" s="8"/>
      <c r="K29" s="8"/>
    </row>
    <row r="30" spans="1:11" outlineLevel="4" x14ac:dyDescent="0.35">
      <c r="A30" s="8"/>
      <c r="B30" s="8"/>
      <c r="C30" s="8"/>
      <c r="D30" s="8"/>
      <c r="E30" s="16" t="s">
        <v>80</v>
      </c>
      <c r="F30" s="17" t="s">
        <v>79</v>
      </c>
      <c r="G30" s="18">
        <f xml:space="preserve"> 11360.57/I9</f>
        <v>11360.57</v>
      </c>
      <c r="H30" s="18"/>
      <c r="I30" s="18">
        <f xml:space="preserve"> 8701.55/I9</f>
        <v>8701.5499999999993</v>
      </c>
      <c r="J30" s="18"/>
      <c r="K30" s="19">
        <f>IF(ROUND(N($I$30),3) - ROUND(N($J$30),3)=0,0,(N($G$30)-N($H$30)-N($I$30)+N($J$30))/(N($I$30)-N($J$30)))</f>
        <v>0.30558004033764108</v>
      </c>
    </row>
    <row r="31" spans="1:11" outlineLevel="4" x14ac:dyDescent="0.35">
      <c r="A31" s="8"/>
      <c r="B31" s="8"/>
      <c r="C31" s="8"/>
      <c r="D31" s="8"/>
      <c r="E31" s="16" t="s">
        <v>81</v>
      </c>
      <c r="F31" s="17" t="s">
        <v>82</v>
      </c>
      <c r="G31" s="18">
        <f xml:space="preserve"> 115.27/I9</f>
        <v>115.27</v>
      </c>
      <c r="H31" s="18"/>
      <c r="I31" s="18">
        <f xml:space="preserve"> 119.71/I9</f>
        <v>119.71</v>
      </c>
      <c r="J31" s="18"/>
      <c r="K31" s="19">
        <f>IF(ROUND(N($I$31),3) - ROUND(N($J$31),3)=0,0,(N($G$31)-N($H$31)-N($I$31)+N($J$31))/(N($I$31)-N($J$31)))</f>
        <v>-3.7089633280427685E-2</v>
      </c>
    </row>
    <row r="32" spans="1:11" outlineLevel="3" x14ac:dyDescent="0.35">
      <c r="A32" s="8"/>
      <c r="B32" s="8"/>
      <c r="C32" s="8"/>
      <c r="D32" s="20" t="str">
        <f>CONCATENATE("Totaal"," ",$D$29)</f>
        <v>Totaal Administratiekosten</v>
      </c>
      <c r="E32" s="8"/>
      <c r="F32" s="8"/>
      <c r="G32" s="21">
        <f>IF(SUBTOTAL(9,$G$30:$G$31)&gt;=SUBTOTAL(9,$H$30:$H$31),SUBTOTAL(9,$G$30:$G$31)-SUBTOTAL(9,$H$30:$H$31),"")</f>
        <v>11475.84</v>
      </c>
      <c r="H32" s="21" t="str">
        <f>IF(SUBTOTAL(9,$G$30:$G$31)&lt;SUBTOTAL(9,$H$30:$H$31),SUBTOTAL(9,$H$30:$H$31)-SUBTOTAL(9,$G$30:$G$31),"")</f>
        <v/>
      </c>
      <c r="I32" s="21">
        <f>IF(SUBTOTAL(9,$I$30:$I$31)&gt;=SUBTOTAL(9,$J$30:$J$31),SUBTOTAL(9,$I$30:$I$31)-SUBTOTAL(9,$J$30:$J$31),"")</f>
        <v>8821.2599999999984</v>
      </c>
      <c r="J32" s="21" t="str">
        <f>IF(SUBTOTAL(9,$I$30:$I$31)&lt;SUBTOTAL(9,$J$30:$J$31),SUBTOTAL(9,$J$30:$J$31)-SUBTOTAL(9,$I$30:$I$31),"")</f>
        <v/>
      </c>
      <c r="K32" s="22">
        <f>IF(ROUND(N($I$32),3) - ROUND(N($J$32),3)=0,0,(N($G$32)-N($H$32)-N($I$32)+N($J$32))/(N($I$32)-N($J$32)))</f>
        <v>0.3009297991443402</v>
      </c>
    </row>
    <row r="33" spans="1:11" outlineLevel="3" x14ac:dyDescent="0.35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</row>
    <row r="34" spans="1:11" outlineLevel="2" x14ac:dyDescent="0.35">
      <c r="A34" s="8"/>
      <c r="B34" s="8"/>
      <c r="C34" s="20" t="str">
        <f>CONCATENATE("Totaal"," ",$C$23)</f>
        <v>Totaal Stichtingskosten</v>
      </c>
      <c r="D34" s="8"/>
      <c r="E34" s="8"/>
      <c r="F34" s="8"/>
      <c r="G34" s="21">
        <f>IF(SUBTOTAL(9,$G$24:$G$33)&gt;=SUBTOTAL(9,$H$24:$H$33),SUBTOTAL(9,$G$24:$G$33)-SUBTOTAL(9,$H$24:$H$33),"")</f>
        <v>13828.42</v>
      </c>
      <c r="H34" s="21" t="str">
        <f>IF(SUBTOTAL(9,$G$24:$G$33)&lt;SUBTOTAL(9,$H$24:$H$33),SUBTOTAL(9,$H$24:$H$33)-SUBTOTAL(9,$G$24:$G$33),"")</f>
        <v/>
      </c>
      <c r="I34" s="21">
        <f>IF(SUBTOTAL(9,$I$24:$I$33)&gt;=SUBTOTAL(9,$J$24:$J$33),SUBTOTAL(9,$I$24:$I$33)-SUBTOTAL(9,$J$24:$J$33),"")</f>
        <v>12234.759999999998</v>
      </c>
      <c r="J34" s="21" t="str">
        <f>IF(SUBTOTAL(9,$I$24:$I$33)&lt;SUBTOTAL(9,$J$24:$J$33),SUBTOTAL(9,$J$24:$J$33)-SUBTOTAL(9,$I$24:$I$33),"")</f>
        <v/>
      </c>
      <c r="K34" s="22">
        <f>IF(ROUND(N($I$34),3) - ROUND(N($J$34),3)=0,0,(N($G$34)-N($H$34)-N($I$34)+N($J$34))/(N($I$34)-N($J$34)))</f>
        <v>0.13025674390016656</v>
      </c>
    </row>
    <row r="35" spans="1:11" outlineLevel="2" x14ac:dyDescent="0.35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</row>
    <row r="36" spans="1:11" outlineLevel="3" x14ac:dyDescent="0.35">
      <c r="A36" s="8"/>
      <c r="B36" s="8"/>
      <c r="C36" s="15" t="s">
        <v>83</v>
      </c>
      <c r="D36" s="8"/>
      <c r="E36" s="8"/>
      <c r="F36" s="8"/>
      <c r="G36" s="8"/>
      <c r="H36" s="8"/>
      <c r="I36" s="8"/>
      <c r="J36" s="8"/>
      <c r="K36" s="8"/>
    </row>
    <row r="37" spans="1:11" outlineLevel="4" x14ac:dyDescent="0.35">
      <c r="A37" s="8"/>
      <c r="B37" s="8"/>
      <c r="C37" s="8"/>
      <c r="D37" s="15" t="s">
        <v>84</v>
      </c>
      <c r="E37" s="8"/>
      <c r="F37" s="8"/>
      <c r="G37" s="8"/>
      <c r="H37" s="8"/>
      <c r="I37" s="8"/>
      <c r="J37" s="8"/>
      <c r="K37" s="8"/>
    </row>
    <row r="38" spans="1:11" outlineLevel="4" x14ac:dyDescent="0.35">
      <c r="A38" s="8"/>
      <c r="B38" s="8"/>
      <c r="C38" s="8"/>
      <c r="D38" s="8"/>
      <c r="E38" s="16" t="s">
        <v>85</v>
      </c>
      <c r="F38" s="17" t="s">
        <v>86</v>
      </c>
      <c r="G38" s="18">
        <f xml:space="preserve"> 4875.95/I9</f>
        <v>4875.95</v>
      </c>
      <c r="H38" s="18"/>
      <c r="I38" s="18">
        <f xml:space="preserve"> 5192.6/I9</f>
        <v>5192.6000000000004</v>
      </c>
      <c r="J38" s="18"/>
      <c r="K38" s="19">
        <f>IF(ROUND(N($I$38),3) - ROUND(N($J$38),3)=0,0,(N($G$38)-N($H$38)-N($I$38)+N($J$38))/(N($I$38)-N($J$38)))</f>
        <v>-6.0981011439356109E-2</v>
      </c>
    </row>
    <row r="39" spans="1:11" outlineLevel="4" x14ac:dyDescent="0.35">
      <c r="A39" s="8"/>
      <c r="B39" s="8"/>
      <c r="C39" s="8"/>
      <c r="D39" s="8"/>
      <c r="E39" s="16" t="s">
        <v>87</v>
      </c>
      <c r="F39" s="17" t="s">
        <v>88</v>
      </c>
      <c r="G39" s="18">
        <f xml:space="preserve"> 18.28/I9</f>
        <v>18.28</v>
      </c>
      <c r="H39" s="18"/>
      <c r="I39" s="18">
        <f xml:space="preserve"> 743.1/I9</f>
        <v>743.1</v>
      </c>
      <c r="J39" s="18"/>
      <c r="K39" s="19">
        <f>IF(ROUND(N($I$39),3) - ROUND(N($J$39),3)=0,0,(N($G$39)-N($H$39)-N($I$39)+N($J$39))/(N($I$39)-N($J$39)))</f>
        <v>-0.9754003498856143</v>
      </c>
    </row>
    <row r="40" spans="1:11" outlineLevel="3" x14ac:dyDescent="0.35">
      <c r="A40" s="8"/>
      <c r="B40" s="8"/>
      <c r="C40" s="8"/>
      <c r="D40" s="20" t="str">
        <f>CONCATENATE("Totaal"," ",$D$37)</f>
        <v>Totaal Uitgaande donaties</v>
      </c>
      <c r="E40" s="8"/>
      <c r="F40" s="8"/>
      <c r="G40" s="21">
        <f>IF(SUBTOTAL(9,$G$38:$G$39)&gt;=SUBTOTAL(9,$H$38:$H$39),SUBTOTAL(9,$G$38:$G$39)-SUBTOTAL(9,$H$38:$H$39),"")</f>
        <v>4894.2299999999996</v>
      </c>
      <c r="H40" s="21" t="str">
        <f>IF(SUBTOTAL(9,$G$38:$G$39)&lt;SUBTOTAL(9,$H$38:$H$39),SUBTOTAL(9,$H$38:$H$39)-SUBTOTAL(9,$G$38:$G$39),"")</f>
        <v/>
      </c>
      <c r="I40" s="21">
        <f>IF(SUBTOTAL(9,$I$38:$I$39)&gt;=SUBTOTAL(9,$J$38:$J$39),SUBTOTAL(9,$I$38:$I$39)-SUBTOTAL(9,$J$38:$J$39),"")</f>
        <v>5935.7000000000007</v>
      </c>
      <c r="J40" s="21" t="str">
        <f>IF(SUBTOTAL(9,$I$38:$I$39)&lt;SUBTOTAL(9,$J$38:$J$39),SUBTOTAL(9,$J$38:$J$39)-SUBTOTAL(9,$I$38:$I$39),"")</f>
        <v/>
      </c>
      <c r="K40" s="22">
        <f>IF(ROUND(N($I$40),3) - ROUND(N($J$40),3)=0,0,(N($G$40)-N($H$40)-N($I$40)+N($J$40))/(N($I$40)-N($J$40)))</f>
        <v>-0.17545866536381574</v>
      </c>
    </row>
    <row r="41" spans="1:11" outlineLevel="3" x14ac:dyDescent="0.35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</row>
    <row r="42" spans="1:11" outlineLevel="2" x14ac:dyDescent="0.35">
      <c r="A42" s="8"/>
      <c r="B42" s="8"/>
      <c r="C42" s="20" t="str">
        <f>CONCATENATE("Totaal"," ",$C$36)</f>
        <v>Totaal Uitgaven</v>
      </c>
      <c r="D42" s="8"/>
      <c r="E42" s="8"/>
      <c r="F42" s="8"/>
      <c r="G42" s="21">
        <f>IF(SUBTOTAL(9,$G$37:$G$41)&gt;=SUBTOTAL(9,$H$37:$H$41),SUBTOTAL(9,$G$37:$G$41)-SUBTOTAL(9,$H$37:$H$41),"")</f>
        <v>4894.2299999999996</v>
      </c>
      <c r="H42" s="21" t="str">
        <f>IF(SUBTOTAL(9,$G$37:$G$41)&lt;SUBTOTAL(9,$H$37:$H$41),SUBTOTAL(9,$H$37:$H$41)-SUBTOTAL(9,$G$37:$G$41),"")</f>
        <v/>
      </c>
      <c r="I42" s="21">
        <f>IF(SUBTOTAL(9,$I$37:$I$41)&gt;=SUBTOTAL(9,$J$37:$J$41),SUBTOTAL(9,$I$37:$I$41)-SUBTOTAL(9,$J$37:$J$41),"")</f>
        <v>5935.7000000000007</v>
      </c>
      <c r="J42" s="21" t="str">
        <f>IF(SUBTOTAL(9,$I$37:$I$41)&lt;SUBTOTAL(9,$J$37:$J$41),SUBTOTAL(9,$J$37:$J$41)-SUBTOTAL(9,$I$37:$I$41),"")</f>
        <v/>
      </c>
      <c r="K42" s="22">
        <f>IF(ROUND(N($I$42),3) - ROUND(N($J$42),3)=0,0,(N($G$42)-N($H$42)-N($I$42)+N($J$42))/(N($I$42)-N($J$42)))</f>
        <v>-0.17545866536381574</v>
      </c>
    </row>
    <row r="43" spans="1:11" outlineLevel="2" x14ac:dyDescent="0.35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</row>
    <row r="44" spans="1:11" outlineLevel="1" x14ac:dyDescent="0.35">
      <c r="A44" s="8"/>
      <c r="B44" s="20" t="str">
        <f>CONCATENATE("Totaal"," ",$B$14)</f>
        <v>Totaal Kosten</v>
      </c>
      <c r="C44" s="8"/>
      <c r="D44" s="8"/>
      <c r="E44" s="8"/>
      <c r="F44" s="8"/>
      <c r="G44" s="21">
        <f>IF(SUBTOTAL(9,$G$15:$G$43)&gt;=SUBTOTAL(9,$H$15:$H$43),SUBTOTAL(9,$G$15:$G$43)-SUBTOTAL(9,$H$15:$H$43),"")</f>
        <v>21306.55</v>
      </c>
      <c r="H44" s="21" t="str">
        <f>IF(SUBTOTAL(9,$G$15:$G$43)&lt;SUBTOTAL(9,$H$15:$H$43),SUBTOTAL(9,$H$15:$H$43)-SUBTOTAL(9,$G$15:$G$43),"")</f>
        <v/>
      </c>
      <c r="I44" s="21">
        <f>IF(SUBTOTAL(9,$I$15:$I$43)&gt;=SUBTOTAL(9,$J$15:$J$43),SUBTOTAL(9,$I$15:$I$43)-SUBTOTAL(9,$J$15:$J$43),"")</f>
        <v>20754.36</v>
      </c>
      <c r="J44" s="21" t="str">
        <f>IF(SUBTOTAL(9,$I$15:$I$43)&lt;SUBTOTAL(9,$J$15:$J$43),SUBTOTAL(9,$J$15:$J$43)-SUBTOTAL(9,$I$15:$I$43),"")</f>
        <v/>
      </c>
      <c r="K44" s="22">
        <f>IF(ROUND(N($I$44),3) - ROUND(N($J$44),3)=0,0,(N($G$44)-N($H$44)-N($I$44)+N($J$44))/(N($I$44)-N($J$44)))</f>
        <v>2.6605975804601958E-2</v>
      </c>
    </row>
    <row r="45" spans="1:11" outlineLevel="1" x14ac:dyDescent="0.35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</row>
    <row r="46" spans="1:11" outlineLevel="2" x14ac:dyDescent="0.35">
      <c r="A46" s="8"/>
      <c r="B46" s="15" t="s">
        <v>89</v>
      </c>
      <c r="C46" s="8"/>
      <c r="D46" s="8"/>
      <c r="E46" s="8"/>
      <c r="F46" s="8"/>
      <c r="G46" s="8"/>
      <c r="H46" s="8"/>
      <c r="I46" s="8"/>
      <c r="J46" s="8"/>
      <c r="K46" s="8"/>
    </row>
    <row r="47" spans="1:11" outlineLevel="3" x14ac:dyDescent="0.35">
      <c r="A47" s="8"/>
      <c r="B47" s="8"/>
      <c r="C47" s="15" t="s">
        <v>90</v>
      </c>
      <c r="D47" s="8"/>
      <c r="E47" s="8"/>
      <c r="F47" s="8"/>
      <c r="G47" s="8"/>
      <c r="H47" s="8"/>
      <c r="I47" s="8"/>
      <c r="J47" s="8"/>
      <c r="K47" s="8"/>
    </row>
    <row r="48" spans="1:11" outlineLevel="4" x14ac:dyDescent="0.35">
      <c r="A48" s="8"/>
      <c r="B48" s="8"/>
      <c r="C48" s="8"/>
      <c r="D48" s="15" t="s">
        <v>91</v>
      </c>
      <c r="E48" s="8"/>
      <c r="F48" s="8"/>
      <c r="G48" s="8"/>
      <c r="H48" s="8"/>
      <c r="I48" s="8"/>
      <c r="J48" s="8"/>
      <c r="K48" s="8"/>
    </row>
    <row r="49" spans="1:11" outlineLevel="4" x14ac:dyDescent="0.35">
      <c r="A49" s="8"/>
      <c r="B49" s="8"/>
      <c r="C49" s="8"/>
      <c r="D49" s="8"/>
      <c r="E49" s="16" t="s">
        <v>92</v>
      </c>
      <c r="F49" s="17" t="s">
        <v>93</v>
      </c>
      <c r="G49" s="18"/>
      <c r="H49" s="18">
        <f xml:space="preserve"> 9698.4/I9</f>
        <v>9698.4</v>
      </c>
      <c r="I49" s="18"/>
      <c r="J49" s="18">
        <f xml:space="preserve"> 10011.5/I9</f>
        <v>10011.5</v>
      </c>
      <c r="K49" s="19">
        <f>IF(ROUND(N($I$49),3) - ROUND(N($J$49),3)=0,0,(N($G$49)-N($H$49)-N($I$49)+N($J$49))/(N($I$49)-N($J$49)))</f>
        <v>-3.1274034859911141E-2</v>
      </c>
    </row>
    <row r="50" spans="1:11" outlineLevel="3" x14ac:dyDescent="0.35">
      <c r="A50" s="8"/>
      <c r="B50" s="8"/>
      <c r="C50" s="8"/>
      <c r="D50" s="20" t="str">
        <f>CONCATENATE("Totaal"," ",$D$48)</f>
        <v>Totaal Financiële resultaat</v>
      </c>
      <c r="E50" s="8"/>
      <c r="F50" s="8"/>
      <c r="G50" s="21" t="str">
        <f>IF(SUBTOTAL(9,$G$49)&gt;=SUBTOTAL(9,$H$49),SUBTOTAL(9,$G$49)-SUBTOTAL(9,$H$49),"")</f>
        <v/>
      </c>
      <c r="H50" s="21">
        <f>IF(SUBTOTAL(9,$G$49)&lt;SUBTOTAL(9,$H$49),SUBTOTAL(9,$H$49)-SUBTOTAL(9,$G$49),"")</f>
        <v>9698.4</v>
      </c>
      <c r="I50" s="21" t="str">
        <f>IF(SUBTOTAL(9,$I$49)&gt;=SUBTOTAL(9,$J$49),SUBTOTAL(9,$I$49)-SUBTOTAL(9,$J$49),"")</f>
        <v/>
      </c>
      <c r="J50" s="21">
        <f>IF(SUBTOTAL(9,$I$49)&lt;SUBTOTAL(9,$J$49),SUBTOTAL(9,$J$49)-SUBTOTAL(9,$I$49),"")</f>
        <v>10011.5</v>
      </c>
      <c r="K50" s="22">
        <f>IF(ROUND(N($I$50),3) - ROUND(N($J$50),3)=0,0,(N($G$50)-N($H$50)-N($I$50)+N($J$50))/(N($I$50)-N($J$50)))</f>
        <v>-3.1274034859911141E-2</v>
      </c>
    </row>
    <row r="51" spans="1:11" outlineLevel="3" x14ac:dyDescent="0.35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</row>
    <row r="52" spans="1:11" outlineLevel="2" x14ac:dyDescent="0.35">
      <c r="A52" s="8"/>
      <c r="B52" s="8"/>
      <c r="C52" s="20" t="str">
        <f>CONCATENATE("Totaal"," ",$C$47)</f>
        <v>Totaal Ontvangsten</v>
      </c>
      <c r="D52" s="8"/>
      <c r="E52" s="8"/>
      <c r="F52" s="8"/>
      <c r="G52" s="21" t="str">
        <f>IF(SUBTOTAL(9,$G$48:$G$51)&gt;=SUBTOTAL(9,$H$48:$H$51),SUBTOTAL(9,$G$48:$G$51)-SUBTOTAL(9,$H$48:$H$51),"")</f>
        <v/>
      </c>
      <c r="H52" s="21">
        <f>IF(SUBTOTAL(9,$G$48:$G$51)&lt;SUBTOTAL(9,$H$48:$H$51),SUBTOTAL(9,$H$48:$H$51)-SUBTOTAL(9,$G$48:$G$51),"")</f>
        <v>9698.4</v>
      </c>
      <c r="I52" s="21" t="str">
        <f>IF(SUBTOTAL(9,$I$48:$I$51)&gt;=SUBTOTAL(9,$J$48:$J$51),SUBTOTAL(9,$I$48:$I$51)-SUBTOTAL(9,$J$48:$J$51),"")</f>
        <v/>
      </c>
      <c r="J52" s="21">
        <f>IF(SUBTOTAL(9,$I$48:$I$51)&lt;SUBTOTAL(9,$J$48:$J$51),SUBTOTAL(9,$J$48:$J$51)-SUBTOTAL(9,$I$48:$I$51),"")</f>
        <v>10011.5</v>
      </c>
      <c r="K52" s="22">
        <f>IF(ROUND(N($I$52),3) - ROUND(N($J$52),3)=0,0,(N($G$52)-N($H$52)-N($I$52)+N($J$52))/(N($I$52)-N($J$52)))</f>
        <v>-3.1274034859911141E-2</v>
      </c>
    </row>
    <row r="53" spans="1:11" outlineLevel="2" x14ac:dyDescent="0.35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</row>
    <row r="54" spans="1:11" outlineLevel="1" x14ac:dyDescent="0.35">
      <c r="A54" s="8"/>
      <c r="B54" s="20" t="str">
        <f>CONCATENATE("Totaal"," ",$B$46)</f>
        <v>Totaal Opbrengsten</v>
      </c>
      <c r="C54" s="8"/>
      <c r="D54" s="8"/>
      <c r="E54" s="8"/>
      <c r="F54" s="8"/>
      <c r="G54" s="21" t="str">
        <f>IF(SUBTOTAL(9,$G$47:$G$53)&gt;=SUBTOTAL(9,$H$47:$H$53),SUBTOTAL(9,$G$47:$G$53)-SUBTOTAL(9,$H$47:$H$53),"")</f>
        <v/>
      </c>
      <c r="H54" s="21">
        <f>IF(SUBTOTAL(9,$G$47:$G$53)&lt;SUBTOTAL(9,$H$47:$H$53),SUBTOTAL(9,$H$47:$H$53)-SUBTOTAL(9,$G$47:$G$53),"")</f>
        <v>9698.4</v>
      </c>
      <c r="I54" s="21" t="str">
        <f>IF(SUBTOTAL(9,$I$47:$I$53)&gt;=SUBTOTAL(9,$J$47:$J$53),SUBTOTAL(9,$I$47:$I$53)-SUBTOTAL(9,$J$47:$J$53),"")</f>
        <v/>
      </c>
      <c r="J54" s="21">
        <f>IF(SUBTOTAL(9,$I$47:$I$53)&lt;SUBTOTAL(9,$J$47:$J$53),SUBTOTAL(9,$J$47:$J$53)-SUBTOTAL(9,$I$47:$I$53),"")</f>
        <v>10011.5</v>
      </c>
      <c r="K54" s="22">
        <f>IF(ROUND(N($I$54),3) - ROUND(N($J$54),3)=0,0,(N($G$54)-N($H$54)-N($I$54)+N($J$54))/(N($I$54)-N($J$54)))</f>
        <v>-3.1274034859911141E-2</v>
      </c>
    </row>
    <row r="55" spans="1:11" outlineLevel="1" x14ac:dyDescent="0.35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</row>
    <row r="56" spans="1:11" x14ac:dyDescent="0.35">
      <c r="A56" s="20" t="str">
        <f>CONCATENATE("Totaal"," ",$A$13)</f>
        <v>Totaal Resultatenrekening</v>
      </c>
      <c r="B56" s="8"/>
      <c r="C56" s="8"/>
      <c r="D56" s="8"/>
      <c r="E56" s="8"/>
      <c r="F56" s="8"/>
      <c r="G56" s="21">
        <f>IF(SUBTOTAL(9,$G$14:$G$55)&gt;=SUBTOTAL(9,$H$14:$H$55),SUBTOTAL(9,$G$14:$G$55)-SUBTOTAL(9,$H$14:$H$55),"")</f>
        <v>11608.15</v>
      </c>
      <c r="H56" s="21" t="str">
        <f>IF(SUBTOTAL(9,$G$14:$G$55)&lt;SUBTOTAL(9,$H$14:$H$55),SUBTOTAL(9,$H$14:$H$55)-SUBTOTAL(9,$G$14:$G$55),"")</f>
        <v/>
      </c>
      <c r="I56" s="21">
        <f>IF(SUBTOTAL(9,$I$14:$I$55)&gt;=SUBTOTAL(9,$J$14:$J$55),SUBTOTAL(9,$I$14:$I$55)-SUBTOTAL(9,$J$14:$J$55),"")</f>
        <v>10742.86</v>
      </c>
      <c r="J56" s="21" t="str">
        <f>IF(SUBTOTAL(9,$I$14:$I$55)&lt;SUBTOTAL(9,$J$14:$J$55),SUBTOTAL(9,$J$14:$J$55)-SUBTOTAL(9,$I$14:$I$55),"")</f>
        <v/>
      </c>
      <c r="K56" s="22">
        <f>IF(ROUND(N($I$56),3) - ROUND(N($J$56),3)=0,0,(N($G$56)-N($H$56)-N($I$56)+N($J$56))/(N($I$56)-N($J$56)))</f>
        <v>8.0545590280428028E-2</v>
      </c>
    </row>
    <row r="57" spans="1:11" x14ac:dyDescent="0.35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</row>
    <row r="58" spans="1:11" x14ac:dyDescent="0.35">
      <c r="A58" s="20" t="str">
        <f>IF(SUBTOTAL(9,$G$13:$G$57)&lt;SUBTOTAL(9,$H$13:$H$57),"Winstsaldo","Saldoverlies")</f>
        <v>Saldoverlies</v>
      </c>
      <c r="B58" s="8"/>
      <c r="C58" s="8"/>
      <c r="D58" s="8"/>
      <c r="E58" s="8"/>
      <c r="F58" s="8"/>
      <c r="G58" s="21" t="str">
        <f>IF(SUBTOTAL(9,$G$13:$G$57)&lt;=SUBTOTAL(9,$H$13:$H$57),SUBTOTAL(9,$H$13:$H$57)-SUBTOTAL(9,$G$13:$G$57),"")</f>
        <v/>
      </c>
      <c r="H58" s="21">
        <f>IF(SUBTOTAL(9,$G$13:$G$57)&gt;SUBTOTAL(9,$H$13:$H$57),SUBTOTAL(9,$G$13:$G$57)-SUBTOTAL(9,$H$13:$H$57),"")</f>
        <v>11608.15</v>
      </c>
      <c r="I58" s="21" t="str">
        <f>IF(SUBTOTAL(9,$I$13:$I$57)&lt;=SUBTOTAL(9,$J$13:$J$57),SUBTOTAL(9,$J$13:$J$57)-SUBTOTAL(9,$I$13:$I$57),"")</f>
        <v/>
      </c>
      <c r="J58" s="21">
        <f>IF(SUBTOTAL(9,$I$13:$I$57)&gt;SUBTOTAL(9,$J$13:$J$57),SUBTOTAL(9,$I$13:$I$57)-SUBTOTAL(9,$J$13:$J$57),"")</f>
        <v>10742.86</v>
      </c>
      <c r="K58" s="22">
        <f>IF(ROUND(N($I$58),3) - ROUND(N($J$58),3)=0,0,(N($G$58)-N($H$58)-N($I$58)+N($J$58))/(N($I$58)-N($J$58)))</f>
        <v>8.0545590280428028E-2</v>
      </c>
    </row>
    <row r="59" spans="1:11" x14ac:dyDescent="0.35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</row>
    <row r="60" spans="1:11" x14ac:dyDescent="0.35">
      <c r="A60" s="24" t="s">
        <v>94</v>
      </c>
      <c r="B60" s="25"/>
      <c r="C60" s="25"/>
      <c r="D60" s="25"/>
      <c r="E60" s="25"/>
      <c r="F60" s="25"/>
      <c r="G60" s="26">
        <f>SUM($G$56,$G$58)</f>
        <v>11608.15</v>
      </c>
      <c r="H60" s="26">
        <f>SUM($H$56,$H$58)</f>
        <v>11608.15</v>
      </c>
      <c r="I60" s="26">
        <f>SUM($I$56,$I$58)</f>
        <v>10742.86</v>
      </c>
      <c r="J60" s="26">
        <f>SUM($J$56,$J$58)</f>
        <v>10742.86</v>
      </c>
      <c r="K60" s="27"/>
    </row>
    <row r="61" spans="1:11" x14ac:dyDescent="0.35">
      <c r="A61" s="8"/>
      <c r="B61" s="8"/>
      <c r="C61" s="8"/>
      <c r="D61" s="8"/>
      <c r="E61" s="8"/>
      <c r="F61" s="8"/>
      <c r="G61" s="8"/>
      <c r="H61" s="8"/>
      <c r="I61" s="8"/>
      <c r="J61" s="8"/>
      <c r="K61" s="8"/>
    </row>
    <row r="62" spans="1:11" x14ac:dyDescent="0.35">
      <c r="A62" s="24" t="s">
        <v>95</v>
      </c>
      <c r="B62" s="25"/>
      <c r="C62" s="25"/>
      <c r="D62" s="25"/>
      <c r="E62" s="25"/>
      <c r="F62" s="25"/>
      <c r="G62" s="26">
        <f>Balans!$G$58+$G$60</f>
        <v>33959.160000000084</v>
      </c>
      <c r="H62" s="26">
        <f>Balans!$H$58+$H$60</f>
        <v>33959.160000000069</v>
      </c>
      <c r="I62" s="26">
        <f>Balans!$I$58+$I$60</f>
        <v>21485.720000000161</v>
      </c>
      <c r="J62" s="26">
        <f>Balans!$J$58+$J$60</f>
        <v>21485.720000000161</v>
      </c>
      <c r="K62" s="28">
        <f>Balans!$K$58+$K$60</f>
        <v>0</v>
      </c>
    </row>
  </sheetData>
  <mergeCells count="6">
    <mergeCell ref="A7:E7"/>
    <mergeCell ref="A1:J1"/>
    <mergeCell ref="A2:J2"/>
    <mergeCell ref="A3:J3"/>
    <mergeCell ref="A5:E5"/>
    <mergeCell ref="A6:E6"/>
  </mergeCells>
  <dataValidations count="1">
    <dataValidation type="list" allowBlank="1" showInputMessage="1" showErrorMessage="1" sqref="I9">
      <formula1>$V$1:$V$5</formula1>
    </dataValidation>
  </dataValidations>
  <pageMargins left="0.27777777777777779" right="0.27777777777777779" top="0.27777777777777779" bottom="0.41666666666666669" header="0.3" footer="0.1388888888888889"/>
  <pageSetup paperSize="9" scale="73" fitToHeight="0" orientation="portrait" horizontalDpi="0" verticalDpi="0" r:id="rId1"/>
  <headerFooter>
    <oddFooter>&amp;LWinst &amp; Verlies - Bj 2015, 001 Stichting Marie Schippers Fonds&amp;R23-5-2016 11:26:14 Pagina &amp;P van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0"/>
  <sheetViews>
    <sheetView zoomScale="80" zoomScaleNormal="80" workbookViewId="0">
      <selection sqref="A1:F1"/>
    </sheetView>
  </sheetViews>
  <sheetFormatPr defaultRowHeight="14.5" x14ac:dyDescent="0.35"/>
  <cols>
    <col min="1" max="1" width="22.7265625" customWidth="1"/>
    <col min="2" max="2" width="20.7265625" customWidth="1"/>
    <col min="3" max="9" width="16.7265625" customWidth="1"/>
    <col min="10" max="10" width="0" hidden="1" customWidth="1"/>
  </cols>
  <sheetData>
    <row r="1" spans="1:11" ht="19.5" x14ac:dyDescent="0.35">
      <c r="A1" s="30" t="s">
        <v>0</v>
      </c>
      <c r="B1" s="30"/>
      <c r="C1" s="30"/>
      <c r="D1" s="30"/>
      <c r="E1" s="30"/>
      <c r="F1" s="30"/>
      <c r="G1" s="1"/>
      <c r="H1" s="1"/>
      <c r="I1" s="1"/>
      <c r="J1" s="1"/>
      <c r="K1" s="1"/>
    </row>
    <row r="2" spans="1:11" ht="19.5" x14ac:dyDescent="0.35">
      <c r="A2" s="30" t="s">
        <v>12</v>
      </c>
      <c r="B2" s="30"/>
      <c r="C2" s="30"/>
      <c r="D2" s="30"/>
      <c r="E2" s="30"/>
      <c r="F2" s="30"/>
      <c r="G2" s="1"/>
      <c r="H2" s="1"/>
      <c r="I2" s="1"/>
      <c r="J2" s="1"/>
      <c r="K2" s="1"/>
    </row>
    <row r="3" spans="1:11" x14ac:dyDescent="0.35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x14ac:dyDescent="0.35">
      <c r="A4" s="1"/>
      <c r="B4" s="1" t="s">
        <v>13</v>
      </c>
      <c r="C4" s="1" t="s">
        <v>4</v>
      </c>
      <c r="D4" s="1"/>
      <c r="E4" s="1"/>
      <c r="F4" s="1"/>
      <c r="G4" s="1"/>
      <c r="H4" s="1"/>
      <c r="I4" s="1"/>
      <c r="J4" s="1"/>
      <c r="K4" s="1"/>
    </row>
    <row r="5" spans="1:11" x14ac:dyDescent="0.35">
      <c r="A5" s="1" t="s">
        <v>14</v>
      </c>
      <c r="B5" s="2">
        <v>42005</v>
      </c>
      <c r="C5" s="2">
        <v>42369</v>
      </c>
      <c r="D5" s="1"/>
      <c r="E5" s="1"/>
      <c r="F5" s="1"/>
      <c r="G5" s="1"/>
      <c r="H5" s="1"/>
      <c r="I5" s="1"/>
      <c r="J5" s="1"/>
      <c r="K5" s="1"/>
    </row>
    <row r="6" spans="1:11" x14ac:dyDescent="0.35">
      <c r="A6" s="1" t="s">
        <v>15</v>
      </c>
      <c r="B6" s="6" t="s">
        <v>6</v>
      </c>
      <c r="C6" s="7" t="s">
        <v>7</v>
      </c>
      <c r="D6" s="1"/>
      <c r="E6" s="1"/>
      <c r="F6" s="1"/>
      <c r="G6" s="1"/>
      <c r="H6" s="1"/>
      <c r="I6" s="1"/>
      <c r="J6" s="1"/>
      <c r="K6" s="1"/>
    </row>
    <row r="7" spans="1:11" x14ac:dyDescent="0.35">
      <c r="A7" s="1"/>
      <c r="B7" s="1"/>
      <c r="C7" s="1"/>
      <c r="D7" s="1"/>
      <c r="E7" s="1"/>
      <c r="F7" s="1"/>
      <c r="G7" s="1"/>
      <c r="H7" s="1"/>
      <c r="I7" s="1"/>
      <c r="J7" s="1"/>
      <c r="K7" s="1"/>
    </row>
    <row r="8" spans="1:11" x14ac:dyDescent="0.35">
      <c r="A8" s="1" t="s">
        <v>16</v>
      </c>
      <c r="B8" s="6" t="s">
        <v>17</v>
      </c>
      <c r="C8" s="1"/>
      <c r="D8" s="1"/>
      <c r="E8" s="1"/>
      <c r="F8" s="1"/>
      <c r="G8" s="1"/>
      <c r="H8" s="1"/>
      <c r="I8" s="1"/>
      <c r="J8" s="1"/>
      <c r="K8" s="1"/>
    </row>
    <row r="9" spans="1:11" x14ac:dyDescent="0.35">
      <c r="A9" s="1" t="s">
        <v>18</v>
      </c>
      <c r="B9" s="6">
        <v>0</v>
      </c>
      <c r="C9" s="1"/>
      <c r="D9" s="1"/>
      <c r="E9" s="1"/>
      <c r="F9" s="1"/>
      <c r="G9" s="1"/>
      <c r="H9" s="1"/>
      <c r="I9" s="1"/>
      <c r="J9" s="1"/>
      <c r="K9" s="1"/>
    </row>
    <row r="10" spans="1:11" x14ac:dyDescent="0.35">
      <c r="A10" s="1" t="s">
        <v>19</v>
      </c>
      <c r="B10" s="6">
        <v>1</v>
      </c>
      <c r="C10" s="1"/>
      <c r="D10" s="1"/>
      <c r="E10" s="1"/>
      <c r="F10" s="1"/>
      <c r="G10" s="1"/>
      <c r="H10" s="1"/>
      <c r="I10" s="1"/>
      <c r="J10" s="1"/>
      <c r="K10" s="1"/>
    </row>
    <row r="11" spans="1:11" x14ac:dyDescent="0.35">
      <c r="A11" s="1" t="s">
        <v>20</v>
      </c>
      <c r="B11" s="6" t="s">
        <v>9</v>
      </c>
      <c r="C11" s="1"/>
      <c r="D11" s="1"/>
      <c r="E11" s="1"/>
      <c r="F11" s="1"/>
      <c r="G11" s="1"/>
      <c r="H11" s="1"/>
      <c r="I11" s="1"/>
      <c r="J11" s="1"/>
      <c r="K11" s="1"/>
    </row>
    <row r="12" spans="1:11" x14ac:dyDescent="0.35">
      <c r="A12" s="1" t="s">
        <v>21</v>
      </c>
      <c r="B12" s="6" t="s">
        <v>22</v>
      </c>
      <c r="C12" s="1"/>
      <c r="D12" s="1"/>
      <c r="E12" s="1"/>
      <c r="F12" s="1"/>
      <c r="G12" s="1"/>
      <c r="H12" s="1"/>
      <c r="I12" s="1"/>
      <c r="J12" s="1"/>
      <c r="K12" s="1"/>
    </row>
    <row r="13" spans="1:11" x14ac:dyDescent="0.35">
      <c r="A13" s="1" t="s">
        <v>23</v>
      </c>
      <c r="B13" s="6">
        <v>2015</v>
      </c>
      <c r="C13" s="1"/>
      <c r="D13" s="1"/>
      <c r="E13" s="1"/>
      <c r="F13" s="1"/>
      <c r="G13" s="1"/>
      <c r="H13" s="1"/>
      <c r="I13" s="1"/>
      <c r="J13" s="1"/>
      <c r="K13" s="1"/>
    </row>
    <row r="14" spans="1:11" x14ac:dyDescent="0.35">
      <c r="A14" s="1" t="s">
        <v>24</v>
      </c>
      <c r="B14" s="6" t="s">
        <v>2</v>
      </c>
      <c r="C14" s="1"/>
      <c r="D14" s="1"/>
      <c r="E14" s="1"/>
      <c r="F14" s="1"/>
      <c r="G14" s="1"/>
      <c r="H14" s="1"/>
      <c r="I14" s="1"/>
      <c r="J14" s="1"/>
      <c r="K14" s="1"/>
    </row>
    <row r="15" spans="1:11" x14ac:dyDescent="0.35">
      <c r="A15" s="1" t="s">
        <v>8</v>
      </c>
      <c r="B15" s="1" t="s">
        <v>9</v>
      </c>
      <c r="C15" s="1"/>
      <c r="D15" s="1"/>
      <c r="E15" s="1"/>
      <c r="F15" s="1"/>
      <c r="G15" s="1"/>
      <c r="H15" s="1"/>
      <c r="I15" s="1"/>
      <c r="J15" s="1"/>
      <c r="K15" s="1"/>
    </row>
    <row r="16" spans="1:11" x14ac:dyDescent="0.35">
      <c r="A16" s="1" t="s">
        <v>25</v>
      </c>
      <c r="B16" s="6" t="s">
        <v>26</v>
      </c>
      <c r="C16" s="1"/>
      <c r="D16" s="1"/>
      <c r="E16" s="1"/>
      <c r="F16" s="1"/>
      <c r="G16" s="1"/>
      <c r="H16" s="1"/>
      <c r="I16" s="1"/>
      <c r="J16" s="1"/>
      <c r="K16" s="1"/>
    </row>
    <row r="17" spans="1:11" x14ac:dyDescent="0.35">
      <c r="A17" s="1" t="s">
        <v>27</v>
      </c>
      <c r="B17" s="6" t="s">
        <v>28</v>
      </c>
      <c r="C17" s="1"/>
      <c r="D17" s="1"/>
      <c r="E17" s="1"/>
      <c r="F17" s="1"/>
      <c r="G17" s="1"/>
      <c r="H17" s="1"/>
      <c r="I17" s="1"/>
      <c r="J17" s="1"/>
      <c r="K17" s="1"/>
    </row>
    <row r="18" spans="1:11" x14ac:dyDescent="0.3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</row>
    <row r="19" spans="1:11" x14ac:dyDescent="0.35">
      <c r="A19" s="1" t="s">
        <v>29</v>
      </c>
      <c r="B19" s="1"/>
      <c r="C19" s="1"/>
      <c r="D19" s="1"/>
      <c r="E19" s="1"/>
      <c r="F19" s="1"/>
      <c r="G19" s="1"/>
      <c r="H19" s="1"/>
      <c r="I19" s="1"/>
      <c r="J19" s="1"/>
      <c r="K19" s="1"/>
    </row>
    <row r="20" spans="1:11" x14ac:dyDescent="0.35">
      <c r="A20" s="1" t="s">
        <v>30</v>
      </c>
      <c r="B20" s="1" t="s">
        <v>31</v>
      </c>
      <c r="C20" s="1"/>
      <c r="D20" s="1"/>
      <c r="E20" s="1"/>
      <c r="F20" s="1"/>
      <c r="G20" s="1"/>
      <c r="H20" s="1"/>
      <c r="I20" s="1"/>
      <c r="J20" s="1"/>
      <c r="K20" s="1"/>
    </row>
    <row r="21" spans="1:11" x14ac:dyDescent="0.35">
      <c r="A21" s="1" t="s">
        <v>32</v>
      </c>
      <c r="B21" s="1" t="s">
        <v>33</v>
      </c>
      <c r="C21" s="1"/>
      <c r="D21" s="1"/>
      <c r="E21" s="1"/>
      <c r="F21" s="1"/>
      <c r="G21" s="1"/>
      <c r="H21" s="1"/>
      <c r="I21" s="1"/>
      <c r="J21" s="1"/>
      <c r="K21" s="1"/>
    </row>
    <row r="22" spans="1:11" x14ac:dyDescent="0.35">
      <c r="A22" s="1" t="s">
        <v>34</v>
      </c>
      <c r="B22" s="1" t="s">
        <v>35</v>
      </c>
      <c r="C22" s="1"/>
      <c r="D22" s="1"/>
      <c r="E22" s="1"/>
      <c r="F22" s="1"/>
      <c r="G22" s="1"/>
      <c r="H22" s="1"/>
      <c r="I22" s="1"/>
      <c r="J22" s="1"/>
      <c r="K22" s="1"/>
    </row>
    <row r="23" spans="1:11" x14ac:dyDescent="0.35">
      <c r="A23" s="1" t="s">
        <v>36</v>
      </c>
      <c r="B23" s="1" t="s">
        <v>37</v>
      </c>
      <c r="C23" s="1"/>
      <c r="D23" s="1"/>
      <c r="E23" s="1"/>
      <c r="F23" s="1"/>
      <c r="G23" s="1"/>
      <c r="H23" s="1"/>
      <c r="I23" s="1"/>
      <c r="J23" s="1"/>
      <c r="K23" s="1"/>
    </row>
    <row r="24" spans="1:11" x14ac:dyDescent="0.3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</row>
    <row r="25" spans="1:11" x14ac:dyDescent="0.3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</row>
    <row r="26" spans="1:11" x14ac:dyDescent="0.3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</row>
    <row r="27" spans="1:11" x14ac:dyDescent="0.3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1" x14ac:dyDescent="0.3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</row>
    <row r="29" spans="1:11" x14ac:dyDescent="0.3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1:11" x14ac:dyDescent="0.3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1" x14ac:dyDescent="0.3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1" x14ac:dyDescent="0.3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 x14ac:dyDescent="0.3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 x14ac:dyDescent="0.3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 x14ac:dyDescent="0.3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 x14ac:dyDescent="0.3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 x14ac:dyDescent="0.3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 x14ac:dyDescent="0.3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 x14ac:dyDescent="0.3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 x14ac:dyDescent="0.3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</sheetData>
  <mergeCells count="2">
    <mergeCell ref="A1:F1"/>
    <mergeCell ref="A2:F2"/>
  </mergeCells>
  <pageMargins left="0.27777777777777779" right="0.27777777777777779" top="0.27777777777777779" bottom="0.41666666666666669" header="0.3" footer="0.1388888888888889"/>
  <pageSetup paperSize="9" fitToHeight="0" orientation="landscape" horizontalDpi="0" verticalDpi="0" r:id="rId1"/>
  <headerFooter>
    <oddFooter>&amp;LBalans - Selectiecriteria, 001 Stichting Marie Schippers Fonds&amp;R23-5-2016 11:26:16 Pagina &amp;P van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3</vt:i4>
      </vt:variant>
      <vt:variant>
        <vt:lpstr>Benoemde bereiken</vt:lpstr>
      </vt:variant>
      <vt:variant>
        <vt:i4>5</vt:i4>
      </vt:variant>
    </vt:vector>
  </HeadingPairs>
  <TitlesOfParts>
    <vt:vector size="8" baseType="lpstr">
      <vt:lpstr>Balans</vt:lpstr>
      <vt:lpstr>Winst &amp; Verlies</vt:lpstr>
      <vt:lpstr>Criteria</vt:lpstr>
      <vt:lpstr>Balans!Afdrukbereik</vt:lpstr>
      <vt:lpstr>'Winst &amp; Verlies'!Afdrukbereik</vt:lpstr>
      <vt:lpstr>Balans!Afdruktitels</vt:lpstr>
      <vt:lpstr>Criteria!Afdruktitels</vt:lpstr>
      <vt:lpstr>'Winst &amp; Verlies'!Afdruktitels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Rutger Fiesler</dc:creator>
  <cp:lastModifiedBy>rienco</cp:lastModifiedBy>
  <dcterms:created xsi:type="dcterms:W3CDTF">2016-05-23T09:26:09Z</dcterms:created>
  <dcterms:modified xsi:type="dcterms:W3CDTF">2017-08-03T12:07:14Z</dcterms:modified>
</cp:coreProperties>
</file>